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520" windowHeight="6420" activeTab="0"/>
  </bookViews>
  <sheets>
    <sheet name="LOG BEAM" sheetId="1" r:id="rId1"/>
  </sheets>
  <definedNames>
    <definedName name="SIDE_a">'LOG BEAM'!#REF!</definedName>
  </definedNames>
  <calcPr fullCalcOnLoad="1"/>
</workbook>
</file>

<file path=xl/sharedStrings.xml><?xml version="1.0" encoding="utf-8"?>
<sst xmlns="http://schemas.openxmlformats.org/spreadsheetml/2006/main" count="435" uniqueCount="211">
  <si>
    <t>angles</t>
  </si>
  <si>
    <t>a =</t>
  </si>
  <si>
    <t>b =</t>
  </si>
  <si>
    <t>c =</t>
  </si>
  <si>
    <t>e =</t>
  </si>
  <si>
    <t>x</t>
  </si>
  <si>
    <t>angle =</t>
  </si>
  <si>
    <t>calculations :</t>
  </si>
  <si>
    <t>WIDTH =</t>
  </si>
  <si>
    <t>X2</t>
  </si>
  <si>
    <t>Reference axis</t>
  </si>
  <si>
    <t>X1 =</t>
  </si>
  <si>
    <t>X2 =</t>
  </si>
  <si>
    <t>prm ang 1=</t>
  </si>
  <si>
    <t>prm ang 2=</t>
  </si>
  <si>
    <t>pol ang 1=</t>
  </si>
  <si>
    <t>pol ang 2=</t>
  </si>
  <si>
    <t>Ax=</t>
  </si>
  <si>
    <t>x=</t>
  </si>
  <si>
    <t>y2=</t>
  </si>
  <si>
    <t>y1=</t>
  </si>
  <si>
    <t>A=</t>
  </si>
  <si>
    <t>Is=</t>
  </si>
  <si>
    <t>Ic=</t>
  </si>
  <si>
    <t>b/a=</t>
  </si>
  <si>
    <t>calc:</t>
  </si>
  <si>
    <t>2 X values :</t>
  </si>
  <si>
    <t>reference</t>
  </si>
  <si>
    <t>LOG A</t>
  </si>
  <si>
    <t>LOG B</t>
  </si>
  <si>
    <t>LOG C</t>
  </si>
  <si>
    <t>scribe ab :</t>
  </si>
  <si>
    <t>c - c :</t>
  </si>
  <si>
    <t>scribe bc :</t>
  </si>
  <si>
    <t>log a,y</t>
  </si>
  <si>
    <t>log c,y</t>
  </si>
  <si>
    <t>log b,y@a</t>
  </si>
  <si>
    <t>log b,y@c</t>
  </si>
  <si>
    <t>top</t>
  </si>
  <si>
    <t>bottom</t>
  </si>
  <si>
    <t>scribe ab</t>
  </si>
  <si>
    <t>scribe bc</t>
  </si>
  <si>
    <t>y=</t>
  </si>
  <si>
    <t xml:space="preserve">sect. DIA </t>
  </si>
  <si>
    <t xml:space="preserve">sect DIA </t>
  </si>
  <si>
    <t>scr bc@c</t>
  </si>
  <si>
    <t>scr bc@b</t>
  </si>
  <si>
    <t>scr ab@b</t>
  </si>
  <si>
    <t>scr ab@a</t>
  </si>
  <si>
    <t>log c</t>
  </si>
  <si>
    <t>Ic</t>
  </si>
  <si>
    <t>centroid</t>
  </si>
  <si>
    <t>calculations : wrt ref axis</t>
  </si>
  <si>
    <t>A</t>
  </si>
  <si>
    <t xml:space="preserve">x </t>
  </si>
  <si>
    <t>Ax</t>
  </si>
  <si>
    <t>log a</t>
  </si>
  <si>
    <t>log b</t>
  </si>
  <si>
    <t>Is</t>
  </si>
  <si>
    <t>sums</t>
  </si>
  <si>
    <t>wrt base</t>
  </si>
  <si>
    <t xml:space="preserve">min dia </t>
  </si>
  <si>
    <t xml:space="preserve">MAX DIA </t>
  </si>
  <si>
    <t>taper calc :</t>
  </si>
  <si>
    <t>length (in)</t>
  </si>
  <si>
    <t>taper a</t>
  </si>
  <si>
    <t>taper b</t>
  </si>
  <si>
    <t>taper c</t>
  </si>
  <si>
    <t>dia</t>
  </si>
  <si>
    <t>sect</t>
  </si>
  <si>
    <t>c-c =</t>
  </si>
  <si>
    <t>Mr =</t>
  </si>
  <si>
    <t>Fb =</t>
  </si>
  <si>
    <t>scr</t>
  </si>
  <si>
    <t>at far end</t>
  </si>
  <si>
    <t>ICY REMOVE SECTOR</t>
  </si>
  <si>
    <t xml:space="preserve">DEPTH </t>
  </si>
  <si>
    <t xml:space="preserve">          Rise / Run</t>
  </si>
  <si>
    <t>sector taper</t>
  </si>
  <si>
    <t>depth</t>
  </si>
  <si>
    <t xml:space="preserve">section  DEPTH </t>
  </si>
  <si>
    <t>bott sect</t>
  </si>
  <si>
    <t xml:space="preserve">  Remove sector</t>
  </si>
  <si>
    <t>ang</t>
  </si>
  <si>
    <t>comp ang</t>
  </si>
  <si>
    <t>x / sin R</t>
  </si>
  <si>
    <t>height</t>
  </si>
  <si>
    <t>ycos+xsin</t>
  </si>
  <si>
    <t>centroid H</t>
  </si>
  <si>
    <t>Ic rotated</t>
  </si>
  <si>
    <t>to</t>
  </si>
  <si>
    <t xml:space="preserve"> Ref . =</t>
  </si>
  <si>
    <t>Ic = 2*Is</t>
  </si>
  <si>
    <t>kip ft</t>
  </si>
  <si>
    <t>SUMMARY :</t>
  </si>
  <si>
    <t>(=default)</t>
  </si>
  <si>
    <t>(=height)</t>
  </si>
  <si>
    <t>default</t>
  </si>
  <si>
    <t>left rotation calc</t>
  </si>
  <si>
    <t>right rotation calc</t>
  </si>
  <si>
    <t>ICX : ROTATE RIGHT SECTOR</t>
  </si>
  <si>
    <t>ICY : ROTATE RIGHT SECTOR</t>
  </si>
  <si>
    <t>ICY : ROTATE LEFT SECTOR</t>
  </si>
  <si>
    <t>ICX : ROTATE LEFT SECTOR</t>
  </si>
  <si>
    <t xml:space="preserve">     Rise / Run</t>
  </si>
  <si>
    <t xml:space="preserve">  x / sin R</t>
  </si>
  <si>
    <t>at zero</t>
  </si>
  <si>
    <t xml:space="preserve">at zero </t>
  </si>
  <si>
    <t>width =</t>
  </si>
  <si>
    <t>rotate top L sect</t>
  </si>
  <si>
    <t>top L sect</t>
  </si>
  <si>
    <t>top R sect</t>
  </si>
  <si>
    <t>rotate top R sect</t>
  </si>
  <si>
    <t>sect. DEPTH =</t>
  </si>
  <si>
    <t>Remove sector &amp; rotate</t>
  </si>
  <si>
    <t>Q Calc:</t>
  </si>
  <si>
    <t>Log B ctr-Neutral(=y)</t>
  </si>
  <si>
    <t>r*sin(=x)</t>
  </si>
  <si>
    <t>Q sector:</t>
  </si>
  <si>
    <t>semi-log b</t>
  </si>
  <si>
    <t>wrt reference axis :</t>
  </si>
  <si>
    <t>SUMS</t>
  </si>
  <si>
    <t>ref. axis to</t>
  </si>
  <si>
    <t>Q =</t>
  </si>
  <si>
    <t xml:space="preserve">     width at neutral axis,</t>
  </si>
  <si>
    <t>neut. axis-Q centroid =</t>
  </si>
  <si>
    <t xml:space="preserve">    First moment of Area above b :</t>
  </si>
  <si>
    <t xml:space="preserve">  Q / Ib =</t>
  </si>
  <si>
    <t xml:space="preserve"> Factor for shear stress calc.</t>
  </si>
  <si>
    <t>SPECIES :</t>
  </si>
  <si>
    <t>Fv =</t>
  </si>
  <si>
    <t>Load =</t>
  </si>
  <si>
    <t>plf</t>
  </si>
  <si>
    <t>Density =</t>
  </si>
  <si>
    <t>Self weight ?</t>
  </si>
  <si>
    <t>lb / ft^3</t>
  </si>
  <si>
    <t>psi</t>
  </si>
  <si>
    <t>Moment arm above b ,</t>
  </si>
  <si>
    <t>of area above b at neutral axis =</t>
  </si>
  <si>
    <t>def. ratio</t>
  </si>
  <si>
    <t>at zero :</t>
  </si>
  <si>
    <t>at MAX :</t>
  </si>
  <si>
    <t>(in^4)</t>
  </si>
  <si>
    <t>(Kip ft)</t>
  </si>
  <si>
    <t>(in^2)</t>
  </si>
  <si>
    <t>at Ctr :</t>
  </si>
  <si>
    <t xml:space="preserve">   (ft^3) Vol (PRISM) =</t>
  </si>
  <si>
    <t>LOADING :</t>
  </si>
  <si>
    <t>END PARAMETERS :</t>
  </si>
  <si>
    <t>ENTER end parameters.</t>
  </si>
  <si>
    <t>CHECK shear (Vf) at zero and maximum. (Log end areas used for calculation.)</t>
  </si>
  <si>
    <t>Mf(kip ft) at Section  =</t>
  </si>
  <si>
    <t>def.(in) at Section  =</t>
  </si>
  <si>
    <t xml:space="preserve">  Mf / Mr =</t>
  </si>
  <si>
    <t>LOG :</t>
  </si>
  <si>
    <t>SCROLL section till deflection at SECTION reaches maximum (displayed beside section entry).</t>
  </si>
  <si>
    <t>CHECK : Mf PASS or FAIL , Mf at SECTION is checked against Mr at this value of Ic.</t>
  </si>
  <si>
    <t>at the left side.</t>
  </si>
  <si>
    <t>be completed manually.</t>
  </si>
  <si>
    <t>USING the TRIPLE LOG BEAM PROGRAM :</t>
  </si>
  <si>
    <t xml:space="preserve">   Volume (Ctr. Area) =</t>
  </si>
  <si>
    <t xml:space="preserve">   Volume (Tr. Cone) =</t>
  </si>
  <si>
    <t xml:space="preserve">         Vf(psi) at Section =</t>
  </si>
  <si>
    <t xml:space="preserve">     Vf / Vr =</t>
  </si>
  <si>
    <t xml:space="preserve">       Q / Ic*b (Section) =</t>
  </si>
  <si>
    <t xml:space="preserve"> VALUES  calculated to SECTION Ic :</t>
  </si>
  <si>
    <t>RECTANGULAR (compare at max. log def.)</t>
  </si>
  <si>
    <t>(ft^3)</t>
  </si>
  <si>
    <t xml:space="preserve">        Rect. equ. b (in)=</t>
  </si>
  <si>
    <t xml:space="preserve">                  depth (in) =</t>
  </si>
  <si>
    <t xml:space="preserve">   end  Rect. Vf (psi) =</t>
  </si>
  <si>
    <t xml:space="preserve">   Vf / Vr =</t>
  </si>
  <si>
    <t xml:space="preserve">    O. A. Height =</t>
  </si>
  <si>
    <t>SUPPORTS AT ENDPOINTS , UNIFORM LOADS.</t>
  </si>
  <si>
    <t>"Joseph Bartok, August 2002"</t>
  </si>
  <si>
    <t>© Joseph Bartok, 2002</t>
  </si>
  <si>
    <t>NOW</t>
  </si>
  <si>
    <t>NOW+</t>
  </si>
  <si>
    <t>ENTRY</t>
  </si>
  <si>
    <t>DIFF.</t>
  </si>
  <si>
    <t>ENTER length : If self -weight desired, set section at zero, center, and maximum,</t>
  </si>
  <si>
    <t>and enter appropriate cross-section values. (Prismoidal formula calculates volume.)</t>
  </si>
  <si>
    <t>Ic at this point is used for PASS or FAIL, and equivalent rectangular beam data.</t>
  </si>
  <si>
    <t>NOTE : If ridge is enabled, calculation is from maximum log diameter.</t>
  </si>
  <si>
    <t xml:space="preserve">Rotating a single section may be to any depth, but must be done </t>
  </si>
  <si>
    <t xml:space="preserve">               If top log sections "graze" the next log, prompts will appear, but calculations must</t>
  </si>
  <si>
    <t>THREE LOG BEAM with SCRIBE ALLOWANCE :</t>
  </si>
  <si>
    <t>First Moment of Area above b, Q =</t>
  </si>
  <si>
    <t xml:space="preserve">               Area above b =</t>
  </si>
  <si>
    <t>Length over</t>
  </si>
  <si>
    <t xml:space="preserve">                     Load (plf) =</t>
  </si>
  <si>
    <t xml:space="preserve">            Total load (W) =</t>
  </si>
  <si>
    <t xml:space="preserve">   R at supports (lbs) =</t>
  </si>
  <si>
    <t>(L/360 , in) allowed d =</t>
  </si>
  <si>
    <t xml:space="preserve">    Log beam wt. (lbs) =</t>
  </si>
  <si>
    <t>(log def. inches)</t>
  </si>
  <si>
    <t xml:space="preserve">    least Mr =</t>
  </si>
  <si>
    <t xml:space="preserve">   Ic =</t>
  </si>
  <si>
    <t xml:space="preserve">  Width at neutral axis, b =</t>
  </si>
  <si>
    <t xml:space="preserve">    Moment arm, N axis to Q cent. =</t>
  </si>
  <si>
    <t xml:space="preserve"> Mf / Mr =</t>
  </si>
  <si>
    <t xml:space="preserve">                   Mr (kip ft) =</t>
  </si>
  <si>
    <t xml:space="preserve">            wl^2 / 8 (MAX), Mf (kip ft) =</t>
  </si>
  <si>
    <t>Supplementary Data :</t>
  </si>
  <si>
    <t xml:space="preserve">      (in^2) Section Area =</t>
  </si>
  <si>
    <t xml:space="preserve">           5wl^4 / 384EI (MAX), d (in) =</t>
  </si>
  <si>
    <t>Ridge calcs.</t>
  </si>
  <si>
    <t>NOTE : If a zero entry is required, enter .0000001</t>
  </si>
  <si>
    <t>SECTION ( Feet )</t>
  </si>
  <si>
    <t xml:space="preserve">     O.A. Length  &amp; </t>
  </si>
  <si>
    <t>NO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</si>
</sst>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;;;"/>
    <numFmt numFmtId="176" formatCode="m/d/yy\ h:mm"/>
    <numFmt numFmtId="177" formatCode="mmmm\ d\,\ yyyy"/>
    <numFmt numFmtId="178" formatCode="#\ ?/2"/>
    <numFmt numFmtId="179" formatCode="mm/dd/yy"/>
  </numFmts>
  <fonts count="28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20"/>
      <name val="Arial"/>
      <family val="2"/>
    </font>
    <font>
      <i/>
      <u val="single"/>
      <sz val="10"/>
      <color indexed="14"/>
      <name val="Arial"/>
      <family val="2"/>
    </font>
    <font>
      <b/>
      <sz val="18"/>
      <color indexed="10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8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25" fillId="0" borderId="0" xfId="0" applyFont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2" borderId="12" xfId="0" applyNumberFormat="1" applyFill="1" applyBorder="1" applyAlignment="1">
      <alignment/>
    </xf>
    <xf numFmtId="0" fontId="0" fillId="5" borderId="12" xfId="0" applyNumberFormat="1" applyFill="1" applyBorder="1" applyAlignment="1">
      <alignment/>
    </xf>
    <xf numFmtId="0" fontId="0" fillId="2" borderId="14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2" borderId="16" xfId="0" applyNumberFormat="1" applyFill="1" applyBorder="1" applyAlignment="1">
      <alignment/>
    </xf>
    <xf numFmtId="0" fontId="0" fillId="2" borderId="13" xfId="0" applyNumberFormat="1" applyFill="1" applyBorder="1" applyAlignment="1">
      <alignment horizontal="center"/>
    </xf>
    <xf numFmtId="0" fontId="0" fillId="6" borderId="17" xfId="0" applyFill="1" applyBorder="1" applyAlignment="1">
      <alignment/>
    </xf>
    <xf numFmtId="176" fontId="0" fillId="6" borderId="17" xfId="0" applyNumberFormat="1" applyFill="1" applyBorder="1" applyAlignment="1">
      <alignment/>
    </xf>
    <xf numFmtId="175" fontId="0" fillId="6" borderId="17" xfId="0" applyNumberFormat="1" applyFill="1" applyBorder="1" applyAlignment="1">
      <alignment/>
    </xf>
    <xf numFmtId="0" fontId="26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/>
      <protection locked="0"/>
    </xf>
    <xf numFmtId="0" fontId="7" fillId="5" borderId="18" xfId="0" applyFont="1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178" fontId="0" fillId="0" borderId="0" xfId="0" applyNumberFormat="1" applyAlignment="1">
      <alignment horizontal="center"/>
    </xf>
    <xf numFmtId="179" fontId="27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10</xdr:row>
      <xdr:rowOff>9525</xdr:rowOff>
    </xdr:from>
    <xdr:to>
      <xdr:col>16</xdr:col>
      <xdr:colOff>142875</xdr:colOff>
      <xdr:row>16</xdr:row>
      <xdr:rowOff>152400</xdr:rowOff>
    </xdr:to>
    <xdr:sp>
      <xdr:nvSpPr>
        <xdr:cNvPr id="1" name="Line 791"/>
        <xdr:cNvSpPr>
          <a:spLocks/>
        </xdr:cNvSpPr>
      </xdr:nvSpPr>
      <xdr:spPr>
        <a:xfrm flipH="1">
          <a:off x="8496300" y="1752600"/>
          <a:ext cx="1790700" cy="1114425"/>
        </a:xfrm>
        <a:prstGeom prst="line">
          <a:avLst/>
        </a:prstGeom>
        <a:noFill/>
        <a:ln w="2857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485775</xdr:colOff>
      <xdr:row>10</xdr:row>
      <xdr:rowOff>28575</xdr:rowOff>
    </xdr:from>
    <xdr:to>
      <xdr:col>18</xdr:col>
      <xdr:colOff>571500</xdr:colOff>
      <xdr:row>17</xdr:row>
      <xdr:rowOff>9525</xdr:rowOff>
    </xdr:to>
    <xdr:sp>
      <xdr:nvSpPr>
        <xdr:cNvPr id="2" name="Line 885"/>
        <xdr:cNvSpPr>
          <a:spLocks/>
        </xdr:cNvSpPr>
      </xdr:nvSpPr>
      <xdr:spPr>
        <a:xfrm>
          <a:off x="10010775" y="1771650"/>
          <a:ext cx="1943100" cy="1114425"/>
        </a:xfrm>
        <a:prstGeom prst="line">
          <a:avLst/>
        </a:prstGeom>
        <a:noFill/>
        <a:ln w="2857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142875</xdr:rowOff>
    </xdr:from>
    <xdr:to>
      <xdr:col>0</xdr:col>
      <xdr:colOff>0</xdr:colOff>
      <xdr:row>186</xdr:row>
      <xdr:rowOff>142875</xdr:rowOff>
    </xdr:to>
    <xdr:sp>
      <xdr:nvSpPr>
        <xdr:cNvPr id="3" name="Line 322"/>
        <xdr:cNvSpPr>
          <a:spLocks/>
        </xdr:cNvSpPr>
      </xdr:nvSpPr>
      <xdr:spPr>
        <a:xfrm flipH="1">
          <a:off x="0" y="2849880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34</xdr:row>
      <xdr:rowOff>19050</xdr:rowOff>
    </xdr:to>
    <xdr:sp>
      <xdr:nvSpPr>
        <xdr:cNvPr id="4" name="Line 745"/>
        <xdr:cNvSpPr>
          <a:spLocks/>
        </xdr:cNvSpPr>
      </xdr:nvSpPr>
      <xdr:spPr>
        <a:xfrm flipH="1">
          <a:off x="10144125" y="1743075"/>
          <a:ext cx="0" cy="390525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20</xdr:row>
      <xdr:rowOff>9525</xdr:rowOff>
    </xdr:from>
    <xdr:to>
      <xdr:col>17</xdr:col>
      <xdr:colOff>466725</xdr:colOff>
      <xdr:row>32</xdr:row>
      <xdr:rowOff>9525</xdr:rowOff>
    </xdr:to>
    <xdr:sp>
      <xdr:nvSpPr>
        <xdr:cNvPr id="5" name="Arc 746"/>
        <xdr:cNvSpPr>
          <a:spLocks/>
        </xdr:cNvSpPr>
      </xdr:nvSpPr>
      <xdr:spPr>
        <a:xfrm rot="16133032" flipH="1" flipV="1">
          <a:off x="9029700" y="3371850"/>
          <a:ext cx="2200275" cy="1943100"/>
        </a:xfrm>
        <a:prstGeom prst="arc">
          <a:avLst>
            <a:gd name="adj1" fmla="val 10283800"/>
            <a:gd name="adj2" fmla="val -9511495"/>
            <a:gd name="adj3" fmla="val 50000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19</xdr:row>
      <xdr:rowOff>66675</xdr:rowOff>
    </xdr:from>
    <xdr:to>
      <xdr:col>17</xdr:col>
      <xdr:colOff>381000</xdr:colOff>
      <xdr:row>26</xdr:row>
      <xdr:rowOff>85725</xdr:rowOff>
    </xdr:to>
    <xdr:sp>
      <xdr:nvSpPr>
        <xdr:cNvPr id="6" name="Arc 748"/>
        <xdr:cNvSpPr>
          <a:spLocks/>
        </xdr:cNvSpPr>
      </xdr:nvSpPr>
      <xdr:spPr>
        <a:xfrm rot="6163298">
          <a:off x="9096375" y="3267075"/>
          <a:ext cx="2047875" cy="1152525"/>
        </a:xfrm>
        <a:prstGeom prst="arc">
          <a:avLst>
            <a:gd name="adj1" fmla="val -20425203"/>
            <a:gd name="adj2" fmla="val 12867037"/>
            <a:gd name="adj3" fmla="val 42157"/>
          </a:avLst>
        </a:prstGeom>
        <a:noFill/>
        <a:ln w="19050" cmpd="sng">
          <a:solidFill>
            <a:srgbClr val="3399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114300</xdr:rowOff>
    </xdr:from>
    <xdr:to>
      <xdr:col>16</xdr:col>
      <xdr:colOff>0</xdr:colOff>
      <xdr:row>26</xdr:row>
      <xdr:rowOff>85725</xdr:rowOff>
    </xdr:to>
    <xdr:sp>
      <xdr:nvSpPr>
        <xdr:cNvPr id="7" name="Line 752"/>
        <xdr:cNvSpPr>
          <a:spLocks/>
        </xdr:cNvSpPr>
      </xdr:nvSpPr>
      <xdr:spPr>
        <a:xfrm>
          <a:off x="10144125" y="3962400"/>
          <a:ext cx="0" cy="457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142875</xdr:rowOff>
    </xdr:from>
    <xdr:to>
      <xdr:col>16</xdr:col>
      <xdr:colOff>0</xdr:colOff>
      <xdr:row>23</xdr:row>
      <xdr:rowOff>85725</xdr:rowOff>
    </xdr:to>
    <xdr:sp>
      <xdr:nvSpPr>
        <xdr:cNvPr id="8" name="Line 753"/>
        <xdr:cNvSpPr>
          <a:spLocks/>
        </xdr:cNvSpPr>
      </xdr:nvSpPr>
      <xdr:spPr>
        <a:xfrm flipV="1">
          <a:off x="10144125" y="3343275"/>
          <a:ext cx="0" cy="5905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27</xdr:row>
      <xdr:rowOff>114300</xdr:rowOff>
    </xdr:from>
    <xdr:to>
      <xdr:col>16</xdr:col>
      <xdr:colOff>590550</xdr:colOff>
      <xdr:row>34</xdr:row>
      <xdr:rowOff>38100</xdr:rowOff>
    </xdr:to>
    <xdr:sp>
      <xdr:nvSpPr>
        <xdr:cNvPr id="9" name="Arc 754"/>
        <xdr:cNvSpPr>
          <a:spLocks/>
        </xdr:cNvSpPr>
      </xdr:nvSpPr>
      <xdr:spPr>
        <a:xfrm rot="7811353">
          <a:off x="9553575" y="4610100"/>
          <a:ext cx="1181100" cy="1057275"/>
        </a:xfrm>
        <a:prstGeom prst="arc">
          <a:avLst>
            <a:gd name="adj" fmla="val -87074"/>
          </a:avLst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19050</xdr:rowOff>
    </xdr:from>
    <xdr:to>
      <xdr:col>16</xdr:col>
      <xdr:colOff>0</xdr:colOff>
      <xdr:row>33</xdr:row>
      <xdr:rowOff>19050</xdr:rowOff>
    </xdr:to>
    <xdr:sp>
      <xdr:nvSpPr>
        <xdr:cNvPr id="10" name="Line 756"/>
        <xdr:cNvSpPr>
          <a:spLocks/>
        </xdr:cNvSpPr>
      </xdr:nvSpPr>
      <xdr:spPr>
        <a:xfrm>
          <a:off x="10144125" y="5162550"/>
          <a:ext cx="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28575</xdr:rowOff>
    </xdr:from>
    <xdr:to>
      <xdr:col>16</xdr:col>
      <xdr:colOff>0</xdr:colOff>
      <xdr:row>32</xdr:row>
      <xdr:rowOff>0</xdr:rowOff>
    </xdr:to>
    <xdr:sp>
      <xdr:nvSpPr>
        <xdr:cNvPr id="11" name="Line 757"/>
        <xdr:cNvSpPr>
          <a:spLocks/>
        </xdr:cNvSpPr>
      </xdr:nvSpPr>
      <xdr:spPr>
        <a:xfrm flipV="1">
          <a:off x="10144125" y="5010150"/>
          <a:ext cx="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31</xdr:row>
      <xdr:rowOff>85725</xdr:rowOff>
    </xdr:from>
    <xdr:to>
      <xdr:col>18</xdr:col>
      <xdr:colOff>76200</xdr:colOff>
      <xdr:row>31</xdr:row>
      <xdr:rowOff>85725</xdr:rowOff>
    </xdr:to>
    <xdr:sp>
      <xdr:nvSpPr>
        <xdr:cNvPr id="12" name="Line 758"/>
        <xdr:cNvSpPr>
          <a:spLocks/>
        </xdr:cNvSpPr>
      </xdr:nvSpPr>
      <xdr:spPr>
        <a:xfrm>
          <a:off x="10715625" y="5229225"/>
          <a:ext cx="74295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31</xdr:row>
      <xdr:rowOff>95250</xdr:rowOff>
    </xdr:from>
    <xdr:to>
      <xdr:col>14</xdr:col>
      <xdr:colOff>600075</xdr:colOff>
      <xdr:row>31</xdr:row>
      <xdr:rowOff>104775</xdr:rowOff>
    </xdr:to>
    <xdr:sp>
      <xdr:nvSpPr>
        <xdr:cNvPr id="13" name="Line 759"/>
        <xdr:cNvSpPr>
          <a:spLocks/>
        </xdr:cNvSpPr>
      </xdr:nvSpPr>
      <xdr:spPr>
        <a:xfrm flipH="1">
          <a:off x="8953500" y="5238750"/>
          <a:ext cx="552450" cy="9525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142875</xdr:rowOff>
    </xdr:from>
    <xdr:to>
      <xdr:col>16</xdr:col>
      <xdr:colOff>0</xdr:colOff>
      <xdr:row>44</xdr:row>
      <xdr:rowOff>152400</xdr:rowOff>
    </xdr:to>
    <xdr:sp>
      <xdr:nvSpPr>
        <xdr:cNvPr id="14" name="Line 760"/>
        <xdr:cNvSpPr>
          <a:spLocks/>
        </xdr:cNvSpPr>
      </xdr:nvSpPr>
      <xdr:spPr>
        <a:xfrm>
          <a:off x="10144125" y="5610225"/>
          <a:ext cx="0" cy="179070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44</xdr:row>
      <xdr:rowOff>9525</xdr:rowOff>
    </xdr:from>
    <xdr:to>
      <xdr:col>18</xdr:col>
      <xdr:colOff>571500</xdr:colOff>
      <xdr:row>44</xdr:row>
      <xdr:rowOff>19050</xdr:rowOff>
    </xdr:to>
    <xdr:sp>
      <xdr:nvSpPr>
        <xdr:cNvPr id="15" name="Line 761"/>
        <xdr:cNvSpPr>
          <a:spLocks/>
        </xdr:cNvSpPr>
      </xdr:nvSpPr>
      <xdr:spPr>
        <a:xfrm>
          <a:off x="7239000" y="7258050"/>
          <a:ext cx="4714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37</xdr:row>
      <xdr:rowOff>0</xdr:rowOff>
    </xdr:from>
    <xdr:to>
      <xdr:col>18</xdr:col>
      <xdr:colOff>542925</xdr:colOff>
      <xdr:row>37</xdr:row>
      <xdr:rowOff>0</xdr:rowOff>
    </xdr:to>
    <xdr:sp>
      <xdr:nvSpPr>
        <xdr:cNvPr id="16" name="Line 762"/>
        <xdr:cNvSpPr>
          <a:spLocks/>
        </xdr:cNvSpPr>
      </xdr:nvSpPr>
      <xdr:spPr>
        <a:xfrm>
          <a:off x="8658225" y="611505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27</xdr:row>
      <xdr:rowOff>0</xdr:rowOff>
    </xdr:from>
    <xdr:to>
      <xdr:col>18</xdr:col>
      <xdr:colOff>552450</xdr:colOff>
      <xdr:row>27</xdr:row>
      <xdr:rowOff>0</xdr:rowOff>
    </xdr:to>
    <xdr:sp>
      <xdr:nvSpPr>
        <xdr:cNvPr id="17" name="Line 763"/>
        <xdr:cNvSpPr>
          <a:spLocks/>
        </xdr:cNvSpPr>
      </xdr:nvSpPr>
      <xdr:spPr>
        <a:xfrm>
          <a:off x="7886700" y="4495800"/>
          <a:ext cx="4048125" cy="0"/>
        </a:xfrm>
        <a:prstGeom prst="line">
          <a:avLst/>
        </a:prstGeom>
        <a:noFill/>
        <a:ln w="19050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18" name="Line 764"/>
        <xdr:cNvSpPr>
          <a:spLocks/>
        </xdr:cNvSpPr>
      </xdr:nvSpPr>
      <xdr:spPr>
        <a:xfrm>
          <a:off x="8648700" y="3105150"/>
          <a:ext cx="3381375" cy="0"/>
        </a:xfrm>
        <a:prstGeom prst="line">
          <a:avLst/>
        </a:prstGeom>
        <a:noFill/>
        <a:ln w="9525" cmpd="sng">
          <a:solidFill>
            <a:srgbClr val="339966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10</xdr:row>
      <xdr:rowOff>104775</xdr:rowOff>
    </xdr:from>
    <xdr:to>
      <xdr:col>19</xdr:col>
      <xdr:colOff>19050</xdr:colOff>
      <xdr:row>10</xdr:row>
      <xdr:rowOff>104775</xdr:rowOff>
    </xdr:to>
    <xdr:sp>
      <xdr:nvSpPr>
        <xdr:cNvPr id="19" name="Line 765"/>
        <xdr:cNvSpPr>
          <a:spLocks/>
        </xdr:cNvSpPr>
      </xdr:nvSpPr>
      <xdr:spPr>
        <a:xfrm>
          <a:off x="7524750" y="184785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26</xdr:row>
      <xdr:rowOff>133350</xdr:rowOff>
    </xdr:from>
    <xdr:to>
      <xdr:col>18</xdr:col>
      <xdr:colOff>247650</xdr:colOff>
      <xdr:row>36</xdr:row>
      <xdr:rowOff>133350</xdr:rowOff>
    </xdr:to>
    <xdr:sp>
      <xdr:nvSpPr>
        <xdr:cNvPr id="20" name="Line 766"/>
        <xdr:cNvSpPr>
          <a:spLocks/>
        </xdr:cNvSpPr>
      </xdr:nvSpPr>
      <xdr:spPr>
        <a:xfrm flipV="1">
          <a:off x="11630025" y="4467225"/>
          <a:ext cx="0" cy="161925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18</xdr:row>
      <xdr:rowOff>57150</xdr:rowOff>
    </xdr:from>
    <xdr:to>
      <xdr:col>18</xdr:col>
      <xdr:colOff>247650</xdr:colOff>
      <xdr:row>26</xdr:row>
      <xdr:rowOff>133350</xdr:rowOff>
    </xdr:to>
    <xdr:sp>
      <xdr:nvSpPr>
        <xdr:cNvPr id="21" name="Line 767"/>
        <xdr:cNvSpPr>
          <a:spLocks/>
        </xdr:cNvSpPr>
      </xdr:nvSpPr>
      <xdr:spPr>
        <a:xfrm flipV="1">
          <a:off x="11630025" y="3095625"/>
          <a:ext cx="0" cy="137160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571500</xdr:colOff>
      <xdr:row>10</xdr:row>
      <xdr:rowOff>104775</xdr:rowOff>
    </xdr:from>
    <xdr:to>
      <xdr:col>11</xdr:col>
      <xdr:colOff>571500</xdr:colOff>
      <xdr:row>44</xdr:row>
      <xdr:rowOff>19050</xdr:rowOff>
    </xdr:to>
    <xdr:sp>
      <xdr:nvSpPr>
        <xdr:cNvPr id="22" name="Line 768"/>
        <xdr:cNvSpPr>
          <a:spLocks/>
        </xdr:cNvSpPr>
      </xdr:nvSpPr>
      <xdr:spPr>
        <a:xfrm flipV="1">
          <a:off x="7620000" y="184785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26</xdr:row>
      <xdr:rowOff>142875</xdr:rowOff>
    </xdr:from>
    <xdr:to>
      <xdr:col>12</xdr:col>
      <xdr:colOff>323850</xdr:colOff>
      <xdr:row>43</xdr:row>
      <xdr:rowOff>152400</xdr:rowOff>
    </xdr:to>
    <xdr:sp>
      <xdr:nvSpPr>
        <xdr:cNvPr id="23" name="Line 769"/>
        <xdr:cNvSpPr>
          <a:spLocks/>
        </xdr:cNvSpPr>
      </xdr:nvSpPr>
      <xdr:spPr>
        <a:xfrm flipV="1">
          <a:off x="7991475" y="4476750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10</xdr:row>
      <xdr:rowOff>104775</xdr:rowOff>
    </xdr:from>
    <xdr:to>
      <xdr:col>12</xdr:col>
      <xdr:colOff>323850</xdr:colOff>
      <xdr:row>27</xdr:row>
      <xdr:rowOff>0</xdr:rowOff>
    </xdr:to>
    <xdr:sp>
      <xdr:nvSpPr>
        <xdr:cNvPr id="24" name="Line 770"/>
        <xdr:cNvSpPr>
          <a:spLocks/>
        </xdr:cNvSpPr>
      </xdr:nvSpPr>
      <xdr:spPr>
        <a:xfrm flipV="1">
          <a:off x="7991475" y="184785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37</xdr:row>
      <xdr:rowOff>0</xdr:rowOff>
    </xdr:from>
    <xdr:to>
      <xdr:col>18</xdr:col>
      <xdr:colOff>247650</xdr:colOff>
      <xdr:row>44</xdr:row>
      <xdr:rowOff>9525</xdr:rowOff>
    </xdr:to>
    <xdr:sp>
      <xdr:nvSpPr>
        <xdr:cNvPr id="25" name="Line 771"/>
        <xdr:cNvSpPr>
          <a:spLocks/>
        </xdr:cNvSpPr>
      </xdr:nvSpPr>
      <xdr:spPr>
        <a:xfrm flipV="1">
          <a:off x="11630025" y="6115050"/>
          <a:ext cx="0" cy="114300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10</xdr:row>
      <xdr:rowOff>114300</xdr:rowOff>
    </xdr:from>
    <xdr:to>
      <xdr:col>18</xdr:col>
      <xdr:colOff>257175</xdr:colOff>
      <xdr:row>18</xdr:row>
      <xdr:rowOff>47625</xdr:rowOff>
    </xdr:to>
    <xdr:sp>
      <xdr:nvSpPr>
        <xdr:cNvPr id="26" name="Line 772"/>
        <xdr:cNvSpPr>
          <a:spLocks/>
        </xdr:cNvSpPr>
      </xdr:nvSpPr>
      <xdr:spPr>
        <a:xfrm flipV="1">
          <a:off x="11639550" y="1857375"/>
          <a:ext cx="0" cy="1228725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16</xdr:row>
      <xdr:rowOff>152400</xdr:rowOff>
    </xdr:from>
    <xdr:to>
      <xdr:col>13</xdr:col>
      <xdr:colOff>219075</xdr:colOff>
      <xdr:row>16</xdr:row>
      <xdr:rowOff>152400</xdr:rowOff>
    </xdr:to>
    <xdr:sp>
      <xdr:nvSpPr>
        <xdr:cNvPr id="27" name="Line 792"/>
        <xdr:cNvSpPr>
          <a:spLocks/>
        </xdr:cNvSpPr>
      </xdr:nvSpPr>
      <xdr:spPr>
        <a:xfrm>
          <a:off x="7200900" y="2867025"/>
          <a:ext cx="1304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43</xdr:row>
      <xdr:rowOff>47625</xdr:rowOff>
    </xdr:from>
    <xdr:to>
      <xdr:col>17</xdr:col>
      <xdr:colOff>409575</xdr:colOff>
      <xdr:row>43</xdr:row>
      <xdr:rowOff>47625</xdr:rowOff>
    </xdr:to>
    <xdr:sp>
      <xdr:nvSpPr>
        <xdr:cNvPr id="28" name="Line 793"/>
        <xdr:cNvSpPr>
          <a:spLocks/>
        </xdr:cNvSpPr>
      </xdr:nvSpPr>
      <xdr:spPr>
        <a:xfrm>
          <a:off x="8305800" y="7134225"/>
          <a:ext cx="2867025" cy="0"/>
        </a:xfrm>
        <a:prstGeom prst="line">
          <a:avLst/>
        </a:prstGeom>
        <a:noFill/>
        <a:ln w="2857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43</xdr:row>
      <xdr:rowOff>47625</xdr:rowOff>
    </xdr:from>
    <xdr:to>
      <xdr:col>13</xdr:col>
      <xdr:colOff>28575</xdr:colOff>
      <xdr:row>43</xdr:row>
      <xdr:rowOff>47625</xdr:rowOff>
    </xdr:to>
    <xdr:sp>
      <xdr:nvSpPr>
        <xdr:cNvPr id="29" name="Line 797"/>
        <xdr:cNvSpPr>
          <a:spLocks/>
        </xdr:cNvSpPr>
      </xdr:nvSpPr>
      <xdr:spPr>
        <a:xfrm>
          <a:off x="7200900" y="7134225"/>
          <a:ext cx="111442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41</xdr:row>
      <xdr:rowOff>19050</xdr:rowOff>
    </xdr:from>
    <xdr:to>
      <xdr:col>11</xdr:col>
      <xdr:colOff>295275</xdr:colOff>
      <xdr:row>43</xdr:row>
      <xdr:rowOff>47625</xdr:rowOff>
    </xdr:to>
    <xdr:sp>
      <xdr:nvSpPr>
        <xdr:cNvPr id="30" name="Line 798"/>
        <xdr:cNvSpPr>
          <a:spLocks/>
        </xdr:cNvSpPr>
      </xdr:nvSpPr>
      <xdr:spPr>
        <a:xfrm>
          <a:off x="7343775" y="6781800"/>
          <a:ext cx="0" cy="3524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44</xdr:row>
      <xdr:rowOff>0</xdr:rowOff>
    </xdr:from>
    <xdr:to>
      <xdr:col>11</xdr:col>
      <xdr:colOff>295275</xdr:colOff>
      <xdr:row>46</xdr:row>
      <xdr:rowOff>0</xdr:rowOff>
    </xdr:to>
    <xdr:sp>
      <xdr:nvSpPr>
        <xdr:cNvPr id="31" name="Line 799"/>
        <xdr:cNvSpPr>
          <a:spLocks/>
        </xdr:cNvSpPr>
      </xdr:nvSpPr>
      <xdr:spPr>
        <a:xfrm flipH="1" flipV="1">
          <a:off x="7343775" y="7248525"/>
          <a:ext cx="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46</xdr:row>
      <xdr:rowOff>0</xdr:rowOff>
    </xdr:from>
    <xdr:to>
      <xdr:col>11</xdr:col>
      <xdr:colOff>285750</xdr:colOff>
      <xdr:row>46</xdr:row>
      <xdr:rowOff>0</xdr:rowOff>
    </xdr:to>
    <xdr:sp>
      <xdr:nvSpPr>
        <xdr:cNvPr id="32" name="Line 800"/>
        <xdr:cNvSpPr>
          <a:spLocks/>
        </xdr:cNvSpPr>
      </xdr:nvSpPr>
      <xdr:spPr>
        <a:xfrm>
          <a:off x="6581775" y="7572375"/>
          <a:ext cx="7524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10</xdr:row>
      <xdr:rowOff>0</xdr:rowOff>
    </xdr:from>
    <xdr:to>
      <xdr:col>14</xdr:col>
      <xdr:colOff>495300</xdr:colOff>
      <xdr:row>11</xdr:row>
      <xdr:rowOff>142875</xdr:rowOff>
    </xdr:to>
    <xdr:sp>
      <xdr:nvSpPr>
        <xdr:cNvPr id="33" name="Line 801"/>
        <xdr:cNvSpPr>
          <a:spLocks/>
        </xdr:cNvSpPr>
      </xdr:nvSpPr>
      <xdr:spPr>
        <a:xfrm>
          <a:off x="9172575" y="1743075"/>
          <a:ext cx="228600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133350</xdr:rowOff>
    </xdr:from>
    <xdr:to>
      <xdr:col>15</xdr:col>
      <xdr:colOff>219075</xdr:colOff>
      <xdr:row>14</xdr:row>
      <xdr:rowOff>142875</xdr:rowOff>
    </xdr:to>
    <xdr:sp>
      <xdr:nvSpPr>
        <xdr:cNvPr id="34" name="Line 802"/>
        <xdr:cNvSpPr>
          <a:spLocks/>
        </xdr:cNvSpPr>
      </xdr:nvSpPr>
      <xdr:spPr>
        <a:xfrm flipH="1" flipV="1">
          <a:off x="9534525" y="2200275"/>
          <a:ext cx="209550" cy="333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43</xdr:row>
      <xdr:rowOff>47625</xdr:rowOff>
    </xdr:from>
    <xdr:to>
      <xdr:col>19</xdr:col>
      <xdr:colOff>0</xdr:colOff>
      <xdr:row>43</xdr:row>
      <xdr:rowOff>47625</xdr:rowOff>
    </xdr:to>
    <xdr:sp>
      <xdr:nvSpPr>
        <xdr:cNvPr id="35" name="Line 803"/>
        <xdr:cNvSpPr>
          <a:spLocks/>
        </xdr:cNvSpPr>
      </xdr:nvSpPr>
      <xdr:spPr>
        <a:xfrm>
          <a:off x="11210925" y="7134225"/>
          <a:ext cx="79057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21</xdr:row>
      <xdr:rowOff>114300</xdr:rowOff>
    </xdr:from>
    <xdr:to>
      <xdr:col>14</xdr:col>
      <xdr:colOff>495300</xdr:colOff>
      <xdr:row>26</xdr:row>
      <xdr:rowOff>133350</xdr:rowOff>
    </xdr:to>
    <xdr:sp>
      <xdr:nvSpPr>
        <xdr:cNvPr id="36" name="Line 820"/>
        <xdr:cNvSpPr>
          <a:spLocks/>
        </xdr:cNvSpPr>
      </xdr:nvSpPr>
      <xdr:spPr>
        <a:xfrm flipH="1">
          <a:off x="9029700" y="3638550"/>
          <a:ext cx="371475" cy="8286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114300</xdr:rowOff>
    </xdr:from>
    <xdr:to>
      <xdr:col>14</xdr:col>
      <xdr:colOff>257175</xdr:colOff>
      <xdr:row>29</xdr:row>
      <xdr:rowOff>95250</xdr:rowOff>
    </xdr:to>
    <xdr:sp>
      <xdr:nvSpPr>
        <xdr:cNvPr id="37" name="Line 824"/>
        <xdr:cNvSpPr>
          <a:spLocks/>
        </xdr:cNvSpPr>
      </xdr:nvSpPr>
      <xdr:spPr>
        <a:xfrm flipV="1">
          <a:off x="8382000" y="4124325"/>
          <a:ext cx="781050" cy="7905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29</xdr:row>
      <xdr:rowOff>95250</xdr:rowOff>
    </xdr:from>
    <xdr:to>
      <xdr:col>13</xdr:col>
      <xdr:colOff>104775</xdr:colOff>
      <xdr:row>29</xdr:row>
      <xdr:rowOff>95250</xdr:rowOff>
    </xdr:to>
    <xdr:sp>
      <xdr:nvSpPr>
        <xdr:cNvPr id="38" name="Line 825"/>
        <xdr:cNvSpPr>
          <a:spLocks/>
        </xdr:cNvSpPr>
      </xdr:nvSpPr>
      <xdr:spPr>
        <a:xfrm>
          <a:off x="7458075" y="4914900"/>
          <a:ext cx="9334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514350</xdr:colOff>
      <xdr:row>17</xdr:row>
      <xdr:rowOff>0</xdr:rowOff>
    </xdr:from>
    <xdr:to>
      <xdr:col>19</xdr:col>
      <xdr:colOff>561975</xdr:colOff>
      <xdr:row>17</xdr:row>
      <xdr:rowOff>0</xdr:rowOff>
    </xdr:to>
    <xdr:sp>
      <xdr:nvSpPr>
        <xdr:cNvPr id="39" name="Line 886"/>
        <xdr:cNvSpPr>
          <a:spLocks/>
        </xdr:cNvSpPr>
      </xdr:nvSpPr>
      <xdr:spPr>
        <a:xfrm flipH="1">
          <a:off x="11896725" y="2876550"/>
          <a:ext cx="666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104775</xdr:rowOff>
    </xdr:from>
    <xdr:to>
      <xdr:col>17</xdr:col>
      <xdr:colOff>0</xdr:colOff>
      <xdr:row>46</xdr:row>
      <xdr:rowOff>66675</xdr:rowOff>
    </xdr:to>
    <xdr:sp>
      <xdr:nvSpPr>
        <xdr:cNvPr id="40" name="Line 888"/>
        <xdr:cNvSpPr>
          <a:spLocks/>
        </xdr:cNvSpPr>
      </xdr:nvSpPr>
      <xdr:spPr>
        <a:xfrm>
          <a:off x="10763250" y="7191375"/>
          <a:ext cx="0" cy="447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85725</xdr:rowOff>
    </xdr:from>
    <xdr:to>
      <xdr:col>15</xdr:col>
      <xdr:colOff>9525</xdr:colOff>
      <xdr:row>46</xdr:row>
      <xdr:rowOff>76200</xdr:rowOff>
    </xdr:to>
    <xdr:sp>
      <xdr:nvSpPr>
        <xdr:cNvPr id="41" name="Line 889"/>
        <xdr:cNvSpPr>
          <a:spLocks/>
        </xdr:cNvSpPr>
      </xdr:nvSpPr>
      <xdr:spPr>
        <a:xfrm>
          <a:off x="9534525" y="7172325"/>
          <a:ext cx="0" cy="476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45</xdr:row>
      <xdr:rowOff>76200</xdr:rowOff>
    </xdr:from>
    <xdr:to>
      <xdr:col>15</xdr:col>
      <xdr:colOff>9525</xdr:colOff>
      <xdr:row>45</xdr:row>
      <xdr:rowOff>76200</xdr:rowOff>
    </xdr:to>
    <xdr:sp>
      <xdr:nvSpPr>
        <xdr:cNvPr id="42" name="Line 891"/>
        <xdr:cNvSpPr>
          <a:spLocks/>
        </xdr:cNvSpPr>
      </xdr:nvSpPr>
      <xdr:spPr>
        <a:xfrm>
          <a:off x="8982075" y="7486650"/>
          <a:ext cx="552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76200</xdr:rowOff>
    </xdr:from>
    <xdr:to>
      <xdr:col>17</xdr:col>
      <xdr:colOff>447675</xdr:colOff>
      <xdr:row>45</xdr:row>
      <xdr:rowOff>76200</xdr:rowOff>
    </xdr:to>
    <xdr:sp>
      <xdr:nvSpPr>
        <xdr:cNvPr id="43" name="Line 892"/>
        <xdr:cNvSpPr>
          <a:spLocks/>
        </xdr:cNvSpPr>
      </xdr:nvSpPr>
      <xdr:spPr>
        <a:xfrm flipH="1">
          <a:off x="10763250" y="74866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9</xdr:row>
      <xdr:rowOff>76200</xdr:rowOff>
    </xdr:from>
    <xdr:to>
      <xdr:col>17</xdr:col>
      <xdr:colOff>466725</xdr:colOff>
      <xdr:row>12</xdr:row>
      <xdr:rowOff>0</xdr:rowOff>
    </xdr:to>
    <xdr:sp>
      <xdr:nvSpPr>
        <xdr:cNvPr id="44" name="Line 893"/>
        <xdr:cNvSpPr>
          <a:spLocks/>
        </xdr:cNvSpPr>
      </xdr:nvSpPr>
      <xdr:spPr>
        <a:xfrm flipH="1">
          <a:off x="10877550" y="1657350"/>
          <a:ext cx="352425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12</xdr:row>
      <xdr:rowOff>142875</xdr:rowOff>
    </xdr:from>
    <xdr:to>
      <xdr:col>16</xdr:col>
      <xdr:colOff>581025</xdr:colOff>
      <xdr:row>13</xdr:row>
      <xdr:rowOff>123825</xdr:rowOff>
    </xdr:to>
    <xdr:sp>
      <xdr:nvSpPr>
        <xdr:cNvPr id="45" name="Line 894"/>
        <xdr:cNvSpPr>
          <a:spLocks/>
        </xdr:cNvSpPr>
      </xdr:nvSpPr>
      <xdr:spPr>
        <a:xfrm flipV="1">
          <a:off x="10620375" y="2209800"/>
          <a:ext cx="104775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46" name="Line 897"/>
        <xdr:cNvSpPr>
          <a:spLocks/>
        </xdr:cNvSpPr>
      </xdr:nvSpPr>
      <xdr:spPr>
        <a:xfrm>
          <a:off x="628650" y="37099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21</xdr:row>
      <xdr:rowOff>114300</xdr:rowOff>
    </xdr:from>
    <xdr:to>
      <xdr:col>17</xdr:col>
      <xdr:colOff>457200</xdr:colOff>
      <xdr:row>26</xdr:row>
      <xdr:rowOff>38100</xdr:rowOff>
    </xdr:to>
    <xdr:sp>
      <xdr:nvSpPr>
        <xdr:cNvPr id="47" name="Line 926"/>
        <xdr:cNvSpPr>
          <a:spLocks/>
        </xdr:cNvSpPr>
      </xdr:nvSpPr>
      <xdr:spPr>
        <a:xfrm>
          <a:off x="10887075" y="3638550"/>
          <a:ext cx="333375" cy="7334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24</xdr:row>
      <xdr:rowOff>85725</xdr:rowOff>
    </xdr:from>
    <xdr:to>
      <xdr:col>19</xdr:col>
      <xdr:colOff>133350</xdr:colOff>
      <xdr:row>28</xdr:row>
      <xdr:rowOff>0</xdr:rowOff>
    </xdr:to>
    <xdr:sp>
      <xdr:nvSpPr>
        <xdr:cNvPr id="48" name="Line 927"/>
        <xdr:cNvSpPr>
          <a:spLocks/>
        </xdr:cNvSpPr>
      </xdr:nvSpPr>
      <xdr:spPr>
        <a:xfrm flipH="1" flipV="1">
          <a:off x="11125200" y="4095750"/>
          <a:ext cx="1009650" cy="5619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28</xdr:row>
      <xdr:rowOff>0</xdr:rowOff>
    </xdr:from>
    <xdr:to>
      <xdr:col>20</xdr:col>
      <xdr:colOff>9525</xdr:colOff>
      <xdr:row>28</xdr:row>
      <xdr:rowOff>0</xdr:rowOff>
    </xdr:to>
    <xdr:sp>
      <xdr:nvSpPr>
        <xdr:cNvPr id="49" name="Line 928"/>
        <xdr:cNvSpPr>
          <a:spLocks/>
        </xdr:cNvSpPr>
      </xdr:nvSpPr>
      <xdr:spPr>
        <a:xfrm flipH="1">
          <a:off x="12134850" y="4657725"/>
          <a:ext cx="4953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50" name="Line 946"/>
        <xdr:cNvSpPr>
          <a:spLocks/>
        </xdr:cNvSpPr>
      </xdr:nvSpPr>
      <xdr:spPr>
        <a:xfrm>
          <a:off x="628650" y="37423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238125</xdr:colOff>
      <xdr:row>2</xdr:row>
      <xdr:rowOff>104775</xdr:rowOff>
    </xdr:from>
    <xdr:to>
      <xdr:col>6</xdr:col>
      <xdr:colOff>333375</xdr:colOff>
      <xdr:row>7</xdr:row>
      <xdr:rowOff>142875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28625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15</xdr:row>
      <xdr:rowOff>152400</xdr:rowOff>
    </xdr:from>
    <xdr:to>
      <xdr:col>11</xdr:col>
      <xdr:colOff>381000</xdr:colOff>
      <xdr:row>17</xdr:row>
      <xdr:rowOff>38100</xdr:rowOff>
    </xdr:to>
    <xdr:sp>
      <xdr:nvSpPr>
        <xdr:cNvPr id="52" name="Rectangle 2"/>
        <xdr:cNvSpPr>
          <a:spLocks/>
        </xdr:cNvSpPr>
      </xdr:nvSpPr>
      <xdr:spPr>
        <a:xfrm>
          <a:off x="6924675" y="270510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over</a:t>
          </a:r>
        </a:p>
      </xdr:txBody>
    </xdr:sp>
    <xdr:clientData/>
  </xdr:twoCellAnchor>
  <xdr:twoCellAnchor>
    <xdr:from>
      <xdr:col>20</xdr:col>
      <xdr:colOff>523875</xdr:colOff>
      <xdr:row>16</xdr:row>
      <xdr:rowOff>152400</xdr:rowOff>
    </xdr:from>
    <xdr:to>
      <xdr:col>21</xdr:col>
      <xdr:colOff>409575</xdr:colOff>
      <xdr:row>18</xdr:row>
      <xdr:rowOff>38100</xdr:rowOff>
    </xdr:to>
    <xdr:sp>
      <xdr:nvSpPr>
        <xdr:cNvPr id="53" name="Rectangle 3"/>
        <xdr:cNvSpPr>
          <a:spLocks/>
        </xdr:cNvSpPr>
      </xdr:nvSpPr>
      <xdr:spPr>
        <a:xfrm>
          <a:off x="13144500" y="2867025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9.28125" style="0" customWidth="1"/>
    <col min="3" max="3" width="12.7109375" style="0" customWidth="1"/>
    <col min="4" max="26" width="9.28125" style="0" customWidth="1"/>
    <col min="27" max="58" width="9.28125" style="0" hidden="1" customWidth="1"/>
    <col min="59" max="59" width="19.7109375" style="0" hidden="1" customWidth="1"/>
    <col min="60" max="215" width="9.28125" style="0" hidden="1" customWidth="1"/>
    <col min="216" max="216" width="9.28125" style="73" hidden="1" customWidth="1"/>
    <col min="217" max="16384" width="9.28125" style="0" hidden="1" customWidth="1"/>
  </cols>
  <sheetData>
    <row r="1" spans="1:216" ht="12.75">
      <c r="A1" s="107"/>
      <c r="B1" s="41"/>
      <c r="C1" s="119"/>
      <c r="D1" s="5"/>
      <c r="HH1" s="73" t="s">
        <v>175</v>
      </c>
    </row>
    <row r="2" spans="2:3" ht="12.75">
      <c r="B2" s="41"/>
      <c r="C2" s="120"/>
    </row>
    <row r="3" ht="12.75">
      <c r="B3" s="5"/>
    </row>
    <row r="4" ht="22.5">
      <c r="J4" s="94" t="s">
        <v>186</v>
      </c>
    </row>
    <row r="6" spans="59:60" ht="12.75">
      <c r="BG6" s="100"/>
      <c r="BH6" s="101"/>
    </row>
    <row r="7" spans="32:60" ht="12.75">
      <c r="AF7" s="35" t="s">
        <v>28</v>
      </c>
      <c r="AO7" s="12" t="s">
        <v>102</v>
      </c>
      <c r="AP7" s="9"/>
      <c r="AT7" s="1" t="s">
        <v>101</v>
      </c>
      <c r="AU7" s="9"/>
      <c r="AY7" s="67" t="s">
        <v>115</v>
      </c>
      <c r="AZ7" t="s">
        <v>116</v>
      </c>
      <c r="BB7">
        <f>$AL$52-$AL$62</f>
        <v>5.266898028821743E-13</v>
      </c>
      <c r="BG7" s="97">
        <f ca="1">NOW()</f>
        <v>38999.57821157407</v>
      </c>
      <c r="BH7" s="103" t="s">
        <v>176</v>
      </c>
    </row>
    <row r="8" spans="9:60" ht="12.75">
      <c r="I8" t="s">
        <v>207</v>
      </c>
      <c r="AF8" s="39" t="s">
        <v>1</v>
      </c>
      <c r="AG8" s="10">
        <f>$Q$18/2</f>
        <v>6.0615</v>
      </c>
      <c r="AO8" s="33" t="s">
        <v>1</v>
      </c>
      <c r="AP8" s="10">
        <f>$Q$18/2</f>
        <v>6.0615</v>
      </c>
      <c r="AT8" s="18" t="s">
        <v>1</v>
      </c>
      <c r="AU8" s="10">
        <f>$Q$18/2</f>
        <v>6.0615</v>
      </c>
      <c r="AY8" s="22" t="s">
        <v>124</v>
      </c>
      <c r="BA8" s="27" t="s">
        <v>2</v>
      </c>
      <c r="BB8">
        <f>2*(SQRT((0.5*$AM$22)^2-($BB$7)^2))</f>
        <v>12.123</v>
      </c>
      <c r="BG8" s="97">
        <f ca="1">NOW()+240</f>
        <v>39239.57821157407</v>
      </c>
      <c r="BH8" s="103" t="s">
        <v>177</v>
      </c>
    </row>
    <row r="9" spans="14:60" ht="12.75">
      <c r="N9" s="21" t="s">
        <v>114</v>
      </c>
      <c r="S9" s="18" t="s">
        <v>113</v>
      </c>
      <c r="T9" s="8" t="str">
        <f>IF($U$18&gt;0.000001,$AU$14-$AU$15,"DISABLED")</f>
        <v>DISABLED</v>
      </c>
      <c r="AF9" s="39" t="s">
        <v>2</v>
      </c>
      <c r="AG9" s="10">
        <f>$AG$8</f>
        <v>6.0615</v>
      </c>
      <c r="AJ9" t="s">
        <v>7</v>
      </c>
      <c r="AO9" s="33" t="s">
        <v>2</v>
      </c>
      <c r="AP9" s="10">
        <f>$AP$8</f>
        <v>6.0615</v>
      </c>
      <c r="AT9" s="18" t="s">
        <v>2</v>
      </c>
      <c r="AU9" s="10">
        <f>$AU$8</f>
        <v>6.0615</v>
      </c>
      <c r="BA9" s="6" t="s">
        <v>6</v>
      </c>
      <c r="BB9">
        <f>ACOS($BB$7/$AZ$14)</f>
        <v>1.5707963267948097</v>
      </c>
      <c r="BG9" s="98">
        <v>38727</v>
      </c>
      <c r="BH9" s="103" t="s">
        <v>178</v>
      </c>
    </row>
    <row r="10" spans="4:60" ht="12.75">
      <c r="D10" t="s">
        <v>173</v>
      </c>
      <c r="I10" s="14" t="s">
        <v>148</v>
      </c>
      <c r="N10" s="33" t="s">
        <v>113</v>
      </c>
      <c r="O10" s="47">
        <f>$AR$25</f>
        <v>1E-07</v>
      </c>
      <c r="S10" s="18" t="s">
        <v>8</v>
      </c>
      <c r="T10" s="8" t="str">
        <f>IF($U$18&gt;0.000001,2*$AU$11,"DISABLED")</f>
        <v>DISABLED</v>
      </c>
      <c r="AF10" s="39" t="s">
        <v>11</v>
      </c>
      <c r="AG10" s="10">
        <v>1E-06</v>
      </c>
      <c r="AJ10" s="9" t="s">
        <v>31</v>
      </c>
      <c r="AO10" s="33" t="s">
        <v>11</v>
      </c>
      <c r="AP10" s="10">
        <v>1E-06</v>
      </c>
      <c r="AT10" s="18" t="s">
        <v>11</v>
      </c>
      <c r="AU10" s="10">
        <v>1E-06</v>
      </c>
      <c r="BA10" s="6" t="s">
        <v>117</v>
      </c>
      <c r="BB10">
        <f>$AZ$14*SIN($BB$9)</f>
        <v>6.0615</v>
      </c>
      <c r="BG10" s="97">
        <f>$BG$9-$BG$7</f>
        <v>-272.57821157407307</v>
      </c>
      <c r="BH10" s="103" t="s">
        <v>179</v>
      </c>
    </row>
    <row r="11" spans="5:60" ht="12.75">
      <c r="E11" s="14" t="s">
        <v>129</v>
      </c>
      <c r="J11" s="35" t="s">
        <v>28</v>
      </c>
      <c r="T11" s="59"/>
      <c r="V11" s="21" t="s">
        <v>206</v>
      </c>
      <c r="AF11" s="39" t="s">
        <v>12</v>
      </c>
      <c r="AG11" s="10">
        <f>$AM$14</f>
        <v>6.061499999999979</v>
      </c>
      <c r="AH11" s="23" t="e">
        <f>IF(#REF!&gt;#REF!,"X2 MUST BE LESS THAN or = a !"," ")</f>
        <v>#REF!</v>
      </c>
      <c r="AJ11" s="21" t="s">
        <v>32</v>
      </c>
      <c r="AK11" s="21">
        <f>$AG$8+$AG$28-$Q$23</f>
        <v>9.999999992515995E-07</v>
      </c>
      <c r="AO11" s="33" t="s">
        <v>12</v>
      </c>
      <c r="AP11" s="10">
        <f>SQRT(($AP$8)^2-($AP$15)^2)</f>
        <v>0.0011010449545538023</v>
      </c>
      <c r="AQ11" s="23" t="e">
        <f>IF(#REF!&gt;#REF!,"X2 MUST BE LESS THAN or = a !"," ")</f>
        <v>#REF!</v>
      </c>
      <c r="AT11" s="18" t="s">
        <v>12</v>
      </c>
      <c r="AU11" s="10">
        <f>SQRT(($AU$8)^2-($AU$15)^2)</f>
        <v>0.001100994436578893</v>
      </c>
      <c r="AV11" s="23" t="e">
        <f>IF(#REF!&gt;#REF!,"X2 MUST BE LESS THAN or = a !"," ")</f>
        <v>#REF!</v>
      </c>
      <c r="BG11" s="99"/>
      <c r="BH11" s="102"/>
    </row>
    <row r="12" spans="5:59" ht="12.75">
      <c r="E12" s="19" t="s">
        <v>4</v>
      </c>
      <c r="F12" s="109">
        <v>1600000</v>
      </c>
      <c r="G12" s="14" t="s">
        <v>136</v>
      </c>
      <c r="I12" s="52" t="s">
        <v>106</v>
      </c>
      <c r="J12" s="37" t="s">
        <v>61</v>
      </c>
      <c r="K12" s="109">
        <v>12.123</v>
      </c>
      <c r="N12" s="33" t="s">
        <v>8</v>
      </c>
      <c r="U12" s="33" t="s">
        <v>87</v>
      </c>
      <c r="V12" s="47" t="s">
        <v>96</v>
      </c>
      <c r="W12" s="48">
        <f>$AU$51</f>
        <v>6.061499900009175</v>
      </c>
      <c r="AF12" s="39" t="s">
        <v>25</v>
      </c>
      <c r="AJ12" t="s">
        <v>33</v>
      </c>
      <c r="AO12" s="33" t="s">
        <v>25</v>
      </c>
      <c r="AT12" s="18" t="s">
        <v>25</v>
      </c>
      <c r="BG12" s="95"/>
    </row>
    <row r="13" spans="5:59" ht="12.75">
      <c r="E13" s="19" t="s">
        <v>72</v>
      </c>
      <c r="F13" s="113">
        <v>1350</v>
      </c>
      <c r="G13" s="14" t="s">
        <v>136</v>
      </c>
      <c r="I13" s="37" t="s">
        <v>74</v>
      </c>
      <c r="J13" s="37" t="s">
        <v>62</v>
      </c>
      <c r="K13" s="110">
        <v>12.123</v>
      </c>
      <c r="N13" s="47">
        <f>2*$AP$11</f>
        <v>0.0022020899091076047</v>
      </c>
      <c r="U13" s="21" t="s">
        <v>105</v>
      </c>
      <c r="V13" s="47" t="s">
        <v>95</v>
      </c>
      <c r="W13" s="48">
        <f>$AU$50</f>
        <v>132125.3945464563</v>
      </c>
      <c r="AF13" s="39" t="s">
        <v>24</v>
      </c>
      <c r="AG13">
        <f>$AG$9/$AG$8</f>
        <v>1</v>
      </c>
      <c r="AJ13" s="21" t="s">
        <v>32</v>
      </c>
      <c r="AK13" s="21">
        <f>$AG$28+$AG$48-$Q$32</f>
        <v>9.999999992515995E-07</v>
      </c>
      <c r="AL13" t="s">
        <v>0</v>
      </c>
      <c r="AM13" t="s">
        <v>9</v>
      </c>
      <c r="AO13" s="33" t="s">
        <v>24</v>
      </c>
      <c r="AP13">
        <f>$AP$8/$AP$9</f>
        <v>1</v>
      </c>
      <c r="AT13" s="18" t="s">
        <v>24</v>
      </c>
      <c r="AU13">
        <f>$AU$8/$AU$9</f>
        <v>1</v>
      </c>
      <c r="AY13" s="28" t="s">
        <v>29</v>
      </c>
      <c r="AZ13" s="22" t="s">
        <v>118</v>
      </c>
      <c r="BG13" s="95"/>
    </row>
    <row r="14" spans="5:59" ht="12.75">
      <c r="E14" s="64" t="s">
        <v>130</v>
      </c>
      <c r="F14" s="113">
        <v>85</v>
      </c>
      <c r="G14" s="14" t="s">
        <v>136</v>
      </c>
      <c r="P14" s="35"/>
      <c r="T14" s="48">
        <f>IF($AU$50&lt;=$Q$18/2,$Q$18/2,$AU$51)</f>
        <v>6.061499900009175</v>
      </c>
      <c r="AE14" s="37"/>
      <c r="AF14" s="39" t="s">
        <v>20</v>
      </c>
      <c r="AG14">
        <f>$AG$13*SQRT(($AG$8)^2-($AG$10)^2)</f>
        <v>6.061499999999917</v>
      </c>
      <c r="AJ14" t="s">
        <v>34</v>
      </c>
      <c r="AK14">
        <f>(($AG$8)^2-($AG$28)^2+($AK$11)^2)/(2*$AK$11)</f>
        <v>4.999999996257998E-07</v>
      </c>
      <c r="AL14">
        <f>ACOS($AK$14/$AG$8)</f>
        <v>1.5707962443070635</v>
      </c>
      <c r="AM14">
        <f>$AG$8*SIN($AL$14)</f>
        <v>6.061499999999979</v>
      </c>
      <c r="AO14" s="33" t="s">
        <v>20</v>
      </c>
      <c r="AP14">
        <f>$AP$8</f>
        <v>6.0615</v>
      </c>
      <c r="AT14" s="18" t="s">
        <v>20</v>
      </c>
      <c r="AU14">
        <f>$AU$8</f>
        <v>6.0615</v>
      </c>
      <c r="AY14" s="68" t="s">
        <v>1</v>
      </c>
      <c r="AZ14" s="10">
        <f>$Q$28/2</f>
        <v>6.0615</v>
      </c>
      <c r="BG14" s="96"/>
    </row>
    <row r="15" spans="5:59" ht="12.75">
      <c r="E15" s="19" t="s">
        <v>189</v>
      </c>
      <c r="F15" s="114">
        <v>360</v>
      </c>
      <c r="G15" s="14" t="s">
        <v>139</v>
      </c>
      <c r="Q15" s="4" t="s">
        <v>93</v>
      </c>
      <c r="AE15" s="37"/>
      <c r="AF15" s="39" t="s">
        <v>19</v>
      </c>
      <c r="AG15" s="17">
        <f>$AG$13*SQRT(($AG$8)^2-($AG$11)^2)</f>
        <v>4.915124923727108E-07</v>
      </c>
      <c r="AJ15" t="s">
        <v>36</v>
      </c>
      <c r="AK15">
        <f>(($AG$28)^2-($AG$8)^2+($AK$11)^2)/(2*$AK$11)</f>
        <v>4.999999996257998E-07</v>
      </c>
      <c r="AL15">
        <f>ACOS($AK$15/$AG$28)</f>
        <v>1.5707962443070635</v>
      </c>
      <c r="AM15">
        <f>$AG$28*SIN($AL$15)</f>
        <v>6.061499999999979</v>
      </c>
      <c r="AO15" s="33" t="s">
        <v>19</v>
      </c>
      <c r="AP15" s="17">
        <f>$AP$8-$AR$25</f>
        <v>6.061499899999999</v>
      </c>
      <c r="AT15" s="18" t="s">
        <v>19</v>
      </c>
      <c r="AU15" s="10">
        <f>$AU$51*COS($AU$57)</f>
        <v>6.061499900009175</v>
      </c>
      <c r="AY15" s="68" t="s">
        <v>2</v>
      </c>
      <c r="AZ15" s="10">
        <f>$AZ$14</f>
        <v>6.0615</v>
      </c>
      <c r="BG15" s="96"/>
    </row>
    <row r="16" spans="5:59" ht="12.75">
      <c r="E16" s="19" t="s">
        <v>133</v>
      </c>
      <c r="F16" s="115">
        <v>40</v>
      </c>
      <c r="G16" s="14" t="s">
        <v>135</v>
      </c>
      <c r="P16" s="34" t="s">
        <v>71</v>
      </c>
      <c r="Q16" s="31">
        <f>$AN$62*$F$13/($N$23*12000)</f>
        <v>19.678088685323637</v>
      </c>
      <c r="T16" s="2" t="str">
        <f>IF($U$18&gt;0.000001,"Remove sector &amp; rotate","DISABLED")</f>
        <v>DISABLED</v>
      </c>
      <c r="AE16" s="37"/>
      <c r="AF16" s="39" t="s">
        <v>13</v>
      </c>
      <c r="AG16">
        <f>ACOS($AG$10/$AG$8)</f>
        <v>1.5707961618192305</v>
      </c>
      <c r="AH16">
        <f>DEGREES($AG$16:$AG$19)</f>
        <v>89.99999054759061</v>
      </c>
      <c r="AJ16" t="s">
        <v>37</v>
      </c>
      <c r="AK16">
        <f>(($AG$28)^2-($AG$48)^2+($AK$13)^2)/(2*$AK$13)</f>
        <v>4.999999996257998E-07</v>
      </c>
      <c r="AL16">
        <f>ACOS($AK$16/$AG$28)</f>
        <v>1.5707962443070635</v>
      </c>
      <c r="AM16">
        <f>$AG$28*SIN($AL$16)</f>
        <v>6.061499999999979</v>
      </c>
      <c r="AO16" s="33" t="s">
        <v>13</v>
      </c>
      <c r="AP16">
        <f>ACOS($AP$10/$AP$8)</f>
        <v>1.5707961618192305</v>
      </c>
      <c r="AQ16">
        <f>DEGREES($AP$16:$AP$19)</f>
        <v>89.99999054759061</v>
      </c>
      <c r="AT16" s="18" t="s">
        <v>13</v>
      </c>
      <c r="AU16">
        <f>ACOS($AU$10/$AU$8)</f>
        <v>1.5707961618192305</v>
      </c>
      <c r="AV16">
        <f>DEGREES($AU$16:$AU$19)</f>
        <v>89.99999054759061</v>
      </c>
      <c r="AY16" s="68" t="s">
        <v>11</v>
      </c>
      <c r="AZ16" s="10">
        <f>$BB$10</f>
        <v>6.0615</v>
      </c>
      <c r="BG16" s="96"/>
    </row>
    <row r="17" spans="6:53" ht="12.75">
      <c r="F17" s="71" t="str">
        <f>IF($U$18&gt;0.000001,"RIDGE FIXED to max. DIA."," ")</f>
        <v> </v>
      </c>
      <c r="I17" s="12" t="s">
        <v>77</v>
      </c>
      <c r="K17" s="111">
        <v>1E-07</v>
      </c>
      <c r="L17" s="112">
        <v>12</v>
      </c>
      <c r="T17" s="1" t="s">
        <v>104</v>
      </c>
      <c r="AE17" s="37"/>
      <c r="AF17" s="39" t="s">
        <v>14</v>
      </c>
      <c r="AG17">
        <f>ACOS($AG$11/$AG$8)</f>
        <v>8.161702114151126E-08</v>
      </c>
      <c r="AH17">
        <f>DEGREES($AG$16:$AG$19)</f>
        <v>4.676310847838608E-06</v>
      </c>
      <c r="AJ17" t="s">
        <v>35</v>
      </c>
      <c r="AK17">
        <f>(($AG$48)^2-($AG$28)^2+($AK$13)^2)/(2*$AK$13)</f>
        <v>4.999999996257998E-07</v>
      </c>
      <c r="AL17">
        <f>ACOS($AK$17/$AG$48)</f>
        <v>1.5707962443070635</v>
      </c>
      <c r="AM17">
        <f>$AG$48*SIN($AL$17)</f>
        <v>6.061499999999979</v>
      </c>
      <c r="AO17" s="33" t="s">
        <v>14</v>
      </c>
      <c r="AP17">
        <f>ACOS($AP$11/$AP$8)</f>
        <v>1.570614681169126</v>
      </c>
      <c r="AQ17">
        <f>DEGREES($AP$16:$AP$19)</f>
        <v>89.98959247227633</v>
      </c>
      <c r="AT17" s="18" t="s">
        <v>14</v>
      </c>
      <c r="AU17">
        <f>ACOS($AU$11/$AU$8)</f>
        <v>1.5706146895033626</v>
      </c>
      <c r="AV17">
        <f>DEGREES($AU$16:$AU$19)</f>
        <v>89.98959294979292</v>
      </c>
      <c r="AY17" s="68" t="s">
        <v>12</v>
      </c>
      <c r="AZ17" s="10">
        <f>$AZ$14</f>
        <v>6.0615</v>
      </c>
      <c r="BA17" s="23" t="e">
        <f>IF(#REF!&gt;#REF!,"X2 MUST BE LESS THAN or = a !"," ")</f>
        <v>#REF!</v>
      </c>
    </row>
    <row r="18" spans="6:51" ht="12.75">
      <c r="F18" s="24" t="str">
        <f>IF($U$18&gt;0.000001,"Depth entries are PRE-SET at:","Natural depth with chord thru Ridge")</f>
        <v>Natural depth with chord thru Ridge</v>
      </c>
      <c r="G18" s="55"/>
      <c r="H18" s="62">
        <f>0.5*($K$12-$K$12*SIN($AU$49))</f>
        <v>0</v>
      </c>
      <c r="I18" s="36" t="s">
        <v>76</v>
      </c>
      <c r="J18" s="55" t="s">
        <v>106</v>
      </c>
      <c r="K18" s="109">
        <v>1E-07</v>
      </c>
      <c r="P18" s="35" t="s">
        <v>43</v>
      </c>
      <c r="Q18" s="51">
        <f>$AM$21</f>
        <v>12.123</v>
      </c>
      <c r="U18" s="111">
        <v>1E-07</v>
      </c>
      <c r="V18" s="118">
        <v>12</v>
      </c>
      <c r="AE18" s="37"/>
      <c r="AF18" s="39" t="s">
        <v>15</v>
      </c>
      <c r="AG18">
        <f>ATAN($AG$14/$AG$10)</f>
        <v>1.5707961618192305</v>
      </c>
      <c r="AH18">
        <f>DEGREES($AG$16:$AG$19)</f>
        <v>89.99999054759061</v>
      </c>
      <c r="AO18" s="33" t="s">
        <v>15</v>
      </c>
      <c r="AP18">
        <f>ATAN($AP$14/$AP$10)</f>
        <v>1.5707961618192305</v>
      </c>
      <c r="AQ18">
        <f>DEGREES($AP$16:$AP$19)</f>
        <v>89.99999054759061</v>
      </c>
      <c r="AT18" s="18" t="s">
        <v>15</v>
      </c>
      <c r="AU18">
        <f>ATAN($AU$14/$AU$10)</f>
        <v>1.5707961618192305</v>
      </c>
      <c r="AV18">
        <f>DEGREES($AU$16:$AU$19)</f>
        <v>89.99999054759061</v>
      </c>
      <c r="AY18" s="68" t="s">
        <v>25</v>
      </c>
    </row>
    <row r="19" spans="4:52" ht="12.75">
      <c r="D19" s="40" t="s">
        <v>209</v>
      </c>
      <c r="F19" s="109">
        <v>15</v>
      </c>
      <c r="G19" s="21"/>
      <c r="H19" s="47">
        <f>0.5*($K$13-$K$13*SIN($AU$49))</f>
        <v>0</v>
      </c>
      <c r="J19" s="21" t="s">
        <v>74</v>
      </c>
      <c r="K19" s="110">
        <v>1E-07</v>
      </c>
      <c r="R19" s="35"/>
      <c r="U19" s="23" t="str">
        <f>IF($U$18&gt;0.000001,"ENTER  .000001 or less to disable"," ")</f>
        <v> </v>
      </c>
      <c r="AE19" s="37"/>
      <c r="AF19" s="39" t="s">
        <v>16</v>
      </c>
      <c r="AG19">
        <f>ATAN($T$23/$AG$11)</f>
        <v>8.108760082037638E-08</v>
      </c>
      <c r="AH19">
        <f>DEGREES($AG$16:$AG$19)</f>
        <v>4.6459772978491185E-06</v>
      </c>
      <c r="AJ19" t="s">
        <v>63</v>
      </c>
      <c r="AL19" t="s">
        <v>69</v>
      </c>
      <c r="AO19" s="33" t="s">
        <v>16</v>
      </c>
      <c r="AP19">
        <f>ATAN($AP$15/$AP$11)</f>
        <v>1.570614681169126</v>
      </c>
      <c r="AQ19">
        <f>DEGREES($AP$16:$AP$19)</f>
        <v>89.98959247227633</v>
      </c>
      <c r="AT19" s="18" t="s">
        <v>16</v>
      </c>
      <c r="AU19">
        <f>ATAN($AU$15/$AU$11)</f>
        <v>1.5706146895033626</v>
      </c>
      <c r="AV19">
        <f>DEGREES($AU$16:$AU$19)</f>
        <v>89.98959294979292</v>
      </c>
      <c r="AY19" s="68" t="s">
        <v>24</v>
      </c>
      <c r="AZ19">
        <f>$AZ$15/$AZ$14</f>
        <v>1</v>
      </c>
    </row>
    <row r="20" spans="4:52" ht="12.75">
      <c r="D20" s="14" t="s">
        <v>208</v>
      </c>
      <c r="F20" s="110">
        <v>7.5</v>
      </c>
      <c r="G20" s="5">
        <f>(12^3)*$F$31*$F$20*($F$19-$F$20)*(($F$19)^2+$F$20*($F$19-$F$20))/(24*$F$12*$F$38)</f>
        <v>0.46975002281190165</v>
      </c>
      <c r="H20" s="5" t="s">
        <v>195</v>
      </c>
      <c r="I20" s="60"/>
      <c r="K20" s="61" t="s">
        <v>172</v>
      </c>
      <c r="AE20" s="37"/>
      <c r="AF20" s="39" t="s">
        <v>17</v>
      </c>
      <c r="AG20">
        <f>((2*$AG$8*($AG$9)^2)/3)*($AH$20)</f>
        <v>148.47354207224848</v>
      </c>
      <c r="AH20">
        <f>((COS($AG$17))^3)-((COS($AG$16))^3)</f>
        <v>0.99999999999999</v>
      </c>
      <c r="AJ20" t="s">
        <v>64</v>
      </c>
      <c r="AK20">
        <f>$F$19*12</f>
        <v>180</v>
      </c>
      <c r="AL20">
        <f>12*$F$20</f>
        <v>90</v>
      </c>
      <c r="AO20" s="33" t="s">
        <v>17</v>
      </c>
      <c r="AP20">
        <f>((2*$AP$8*($AP$9)^2)/3)*($AQ$20)</f>
        <v>8.898645256942382E-10</v>
      </c>
      <c r="AQ20">
        <f>((COS($AP$17))^3)-((COS($AP$16))^3)</f>
        <v>5.993421543490986E-12</v>
      </c>
      <c r="AT20" s="18" t="s">
        <v>17</v>
      </c>
      <c r="AU20">
        <f>((2*$AU$8*($AU$9)^2)/3)*($AV$20)</f>
        <v>8.897420454338115E-10</v>
      </c>
      <c r="AV20">
        <f>((COS($AU$17))^3)-((COS($AU$16))^3)</f>
        <v>5.992596613616497E-12</v>
      </c>
      <c r="AY20" s="68" t="s">
        <v>20</v>
      </c>
      <c r="AZ20">
        <f>$AZ$19*SQRT(($AZ$14)^2-($AZ$16)^2)</f>
        <v>0</v>
      </c>
    </row>
    <row r="21" spans="4:52" ht="12.75">
      <c r="D21" s="23" t="str">
        <f>IF($F$20&gt;$F$19,"  BEAM IS NOT THIS LONG !"," ")</f>
        <v> </v>
      </c>
      <c r="G21" s="4"/>
      <c r="L21" s="5">
        <f>$T$40+$T$32+$T$24+$T$14</f>
        <v>12.123001766059144</v>
      </c>
      <c r="AE21" s="37"/>
      <c r="AF21" s="39" t="s">
        <v>21</v>
      </c>
      <c r="AG21">
        <f>(($AG$8*$AG$9)*(($AG$16+0.5*SIN(2*$AG$16))-($AG$17+0.5*SIN(2*$AG$17))))</f>
        <v>57.71385060068828</v>
      </c>
      <c r="AJ21" s="39" t="s">
        <v>65</v>
      </c>
      <c r="AK21" s="37">
        <f>($K$13-$K$12)/$AK$20</f>
        <v>0</v>
      </c>
      <c r="AL21" s="39" t="s">
        <v>68</v>
      </c>
      <c r="AM21" s="37">
        <f>($K$12+$AK$21*$AL$20)</f>
        <v>12.123</v>
      </c>
      <c r="AN21" s="39"/>
      <c r="AO21" s="33" t="s">
        <v>21</v>
      </c>
      <c r="AP21">
        <f>(($AP$8*$AP$9)*(($AP$16+0.5*SIN(2*$AP$16))-($AP$17+0.5*SIN(2*$AP$17))))</f>
        <v>1.4680071154382633E-10</v>
      </c>
      <c r="AT21" s="18" t="s">
        <v>21</v>
      </c>
      <c r="AU21">
        <f>(($AU$8*$AU$9)*(($AU$16+0.5*SIN(2*$AU$16))-($AU$17+0.5*SIN(2*$AU$17))))</f>
        <v>1.4678439491477844E-10</v>
      </c>
      <c r="AY21" s="68" t="s">
        <v>19</v>
      </c>
      <c r="AZ21" s="17">
        <f>$AZ$19*SQRT(($AZ$14)^2-($AZ$17)^2)</f>
        <v>0</v>
      </c>
    </row>
    <row r="22" spans="5:53" ht="12.75">
      <c r="E22" s="14" t="s">
        <v>147</v>
      </c>
      <c r="AE22" s="37"/>
      <c r="AF22" s="39" t="s">
        <v>18</v>
      </c>
      <c r="AG22">
        <f>$AG$20/$AG$21</f>
        <v>2.572580767474867</v>
      </c>
      <c r="AJ22" s="18" t="s">
        <v>66</v>
      </c>
      <c r="AK22" s="2">
        <f>($K$29-$K$28)/$AK$20</f>
        <v>0</v>
      </c>
      <c r="AL22" s="18" t="s">
        <v>68</v>
      </c>
      <c r="AM22" s="2">
        <f>($K$28+$AK$22*$AL$20)</f>
        <v>12.123</v>
      </c>
      <c r="AO22" s="33" t="s">
        <v>18</v>
      </c>
      <c r="AP22">
        <f>$AP$20/$AP$21</f>
        <v>6.061718068911235</v>
      </c>
      <c r="AT22" s="18" t="s">
        <v>18</v>
      </c>
      <c r="AU22">
        <f>$AU$20/$AU$21</f>
        <v>6.061557469718678</v>
      </c>
      <c r="AY22" s="68" t="s">
        <v>13</v>
      </c>
      <c r="AZ22">
        <f>ACOS($AZ$16/$AZ$14)</f>
        <v>0</v>
      </c>
      <c r="BA22">
        <f>DEGREES($AZ$22:$AZ$25)</f>
        <v>0</v>
      </c>
    </row>
    <row r="23" spans="5:53" ht="12.75">
      <c r="E23" s="19" t="s">
        <v>131</v>
      </c>
      <c r="F23" s="116">
        <v>699.6</v>
      </c>
      <c r="G23" s="14" t="s">
        <v>132</v>
      </c>
      <c r="I23" s="7" t="s">
        <v>40</v>
      </c>
      <c r="J23" s="53" t="s">
        <v>106</v>
      </c>
      <c r="K23" s="109">
        <v>12.122999</v>
      </c>
      <c r="M23" s="19" t="s">
        <v>3</v>
      </c>
      <c r="N23" s="5">
        <f>$L$21-$N$34</f>
        <v>6.061500866059671</v>
      </c>
      <c r="P23" s="9" t="s">
        <v>40</v>
      </c>
      <c r="Q23" s="10">
        <f>$AM$24</f>
        <v>12.122999</v>
      </c>
      <c r="S23" s="39" t="s">
        <v>42</v>
      </c>
      <c r="T23" s="38">
        <f>$AG$13*SQRT(($AG$8)^2-($AG$11)^2)</f>
        <v>4.915124923727108E-07</v>
      </c>
      <c r="AE23" s="37"/>
      <c r="AF23" s="39" t="s">
        <v>22</v>
      </c>
      <c r="AG23">
        <f>(0.25*$AG$8*($AG$9)^3)*(($AG$16-0.25*SIN(4*$AG$16))-($AG$17-0.25*SIN(4*$AG$17)))</f>
        <v>530.1274879846784</v>
      </c>
      <c r="AJ23" s="6" t="s">
        <v>67</v>
      </c>
      <c r="AK23">
        <f>($K$39-$K$38)/$AK$20</f>
        <v>0</v>
      </c>
      <c r="AL23" s="6" t="s">
        <v>68</v>
      </c>
      <c r="AM23" s="25">
        <f>($K$38+$AK$23*$AL$20)</f>
        <v>12.123</v>
      </c>
      <c r="AO23" s="33" t="s">
        <v>22</v>
      </c>
      <c r="AP23">
        <f>(0.25*$AP$8*($AP$9)^3)*(($AP$16-0.25*SIN(4*$AP$16))-($AP$17-0.25*SIN(4*$AP$17)))</f>
        <v>5.39386965319621E-09</v>
      </c>
      <c r="AT23" s="18" t="s">
        <v>22</v>
      </c>
      <c r="AU23">
        <f>(0.25*$AU$8*($AU$9)^3)*(($AU$16-0.25*SIN(4*$AU$16))-($AU$17-0.25*SIN(4*$AU$17)))</f>
        <v>5.393120275656796E-09</v>
      </c>
      <c r="AY23" s="68" t="s">
        <v>14</v>
      </c>
      <c r="AZ23">
        <f>ACOS($AZ$17/$AZ$14)</f>
        <v>0</v>
      </c>
      <c r="BA23">
        <f>DEGREES($AZ$22:$AZ$25)</f>
        <v>0</v>
      </c>
    </row>
    <row r="24" spans="5:53" ht="12.75">
      <c r="E24" s="19" t="s">
        <v>134</v>
      </c>
      <c r="F24" s="115" t="s">
        <v>210</v>
      </c>
      <c r="G24" s="26" t="str">
        <f>IF(LEFT($F$24)="Y",$F$30/$F$19,"DISABLED")</f>
        <v>DISABLED</v>
      </c>
      <c r="H24" s="5" t="str">
        <f>IF(LEFT($F$24)="Y","(+ plf)"," ")</f>
        <v> </v>
      </c>
      <c r="J24" s="2" t="s">
        <v>74</v>
      </c>
      <c r="K24" s="110">
        <v>12.122999</v>
      </c>
      <c r="S24" s="33" t="s">
        <v>70</v>
      </c>
      <c r="T24" s="47">
        <f>$T$23+$T$25</f>
        <v>9.830249847454215E-07</v>
      </c>
      <c r="AE24" s="37"/>
      <c r="AF24" s="39" t="s">
        <v>23</v>
      </c>
      <c r="AG24">
        <f>$AG$23-$AG$21*($AG$22)^2</f>
        <v>148.16730917074148</v>
      </c>
      <c r="AJ24" s="18" t="s">
        <v>73</v>
      </c>
      <c r="AK24" s="2">
        <f>($K$24-$K$23)/$AK$20</f>
        <v>0</v>
      </c>
      <c r="AL24" s="18" t="s">
        <v>68</v>
      </c>
      <c r="AM24" s="2">
        <f>($K$23+$AK$24*$AL$20)</f>
        <v>12.122999</v>
      </c>
      <c r="AO24" s="33" t="s">
        <v>23</v>
      </c>
      <c r="AP24" s="3">
        <f>$AP$23-$AP$21*($AP$22)^2</f>
        <v>-2.38221087679146E-13</v>
      </c>
      <c r="AT24" s="18" t="s">
        <v>23</v>
      </c>
      <c r="AU24" s="3">
        <f>$AU$23-$AU$21*($AU$22)^2</f>
        <v>-1.0226596530001346E-13</v>
      </c>
      <c r="AY24" s="68" t="s">
        <v>15</v>
      </c>
      <c r="AZ24">
        <f>ATAN($AZ$20/$AZ$16)</f>
        <v>0</v>
      </c>
      <c r="BA24">
        <f>DEGREES($AZ$22:$AZ$25)</f>
        <v>0</v>
      </c>
    </row>
    <row r="25" spans="4:53" ht="12.75">
      <c r="D25" t="s">
        <v>204</v>
      </c>
      <c r="F25" s="4">
        <f>$AK$61</f>
        <v>115.42773718615078</v>
      </c>
      <c r="G25" s="24" t="str">
        <f>IF(LEFT($F$24)&lt;&gt;"Y"," ",IF($F$20=0,"ZERO",IF($F$20=$F$19,"MAX.",IF($F$20=$F$19/2,"CENTER"," "))))</f>
        <v> </v>
      </c>
      <c r="S25" s="18" t="s">
        <v>42</v>
      </c>
      <c r="T25" s="9">
        <f>$AG$33*SQRT(($AG$28)^2-($AG$31)^2)</f>
        <v>4.915124923727108E-07</v>
      </c>
      <c r="AJ25" s="6" t="s">
        <v>73</v>
      </c>
      <c r="AK25">
        <f>($K$34-$K$33)/$AK$20</f>
        <v>0</v>
      </c>
      <c r="AL25" s="6" t="s">
        <v>68</v>
      </c>
      <c r="AM25" s="15">
        <f>($K$33+$AK$25*$AL$20)</f>
        <v>12.122999</v>
      </c>
      <c r="AO25" s="33" t="s">
        <v>78</v>
      </c>
      <c r="AP25" s="21">
        <f>IF($U$18&lt;=0.000001,($K$19-$K$18)/$AK$20,($H$19-$H$18)/$AK$20)</f>
        <v>0</v>
      </c>
      <c r="AQ25" s="33" t="s">
        <v>79</v>
      </c>
      <c r="AR25" s="21">
        <f>IF($U$18&lt;=0.000001,($K$18+$AP$25*$AL$20),($H$18+$AP$25*$AL$20))</f>
        <v>1E-07</v>
      </c>
      <c r="AT25" s="18" t="s">
        <v>78</v>
      </c>
      <c r="AU25" s="66">
        <f>($K$19-$K$18)/$AK$20</f>
        <v>0</v>
      </c>
      <c r="AV25" s="18" t="s">
        <v>79</v>
      </c>
      <c r="AW25" s="66">
        <f>($K$18+$AP$25*$AL$20)</f>
        <v>1E-07</v>
      </c>
      <c r="AY25" s="68" t="s">
        <v>16</v>
      </c>
      <c r="AZ25" s="3">
        <f>ATAN($AZ$21/$AZ$17)</f>
        <v>0</v>
      </c>
      <c r="BA25">
        <f>DEGREES($AZ$22:$AZ$25)</f>
        <v>0</v>
      </c>
    </row>
    <row r="26" spans="3:53" ht="12.75">
      <c r="C26" s="43" t="str">
        <f>IF(LEFT($F$24)="Y","      For self-load, ENTER areas :"," ")</f>
        <v> </v>
      </c>
      <c r="D26" s="6"/>
      <c r="E26" s="41" t="s">
        <v>140</v>
      </c>
      <c r="F26" s="109">
        <v>113.0974</v>
      </c>
      <c r="G26" s="26" t="str">
        <f>IF(LEFT($F$24)&lt;&gt;"Y","DISABLED",IF($F$20=0,"ENTER"," "))</f>
        <v>DISABLED</v>
      </c>
      <c r="AY26" s="68" t="s">
        <v>17</v>
      </c>
      <c r="AZ26">
        <f>((2*$AZ$14*($AZ$15)^2)/3)*($BA$26)</f>
        <v>0</v>
      </c>
      <c r="BA26">
        <f>((COS($AZ$23))^3)-((COS($AZ$22))^3)</f>
        <v>0</v>
      </c>
    </row>
    <row r="27" spans="4:52" ht="12.75">
      <c r="D27" s="16" t="s">
        <v>144</v>
      </c>
      <c r="E27" s="6" t="s">
        <v>145</v>
      </c>
      <c r="F27" s="117">
        <v>113.0974</v>
      </c>
      <c r="G27" s="26" t="str">
        <f>IF(LEFT($F$24)&lt;&gt;"Y","DISABLED",IF($F$20=$F$19/2,"ENTER"," "))</f>
        <v>DISABLED</v>
      </c>
      <c r="J27" s="7" t="s">
        <v>29</v>
      </c>
      <c r="S27" s="19"/>
      <c r="T27" s="3"/>
      <c r="AF27" s="7" t="s">
        <v>29</v>
      </c>
      <c r="AG27" s="9" t="s">
        <v>38</v>
      </c>
      <c r="AK27" s="7" t="s">
        <v>29</v>
      </c>
      <c r="AL27" s="9" t="s">
        <v>39</v>
      </c>
      <c r="AY27" s="68" t="s">
        <v>21</v>
      </c>
      <c r="AZ27">
        <f>(($AZ$14*$AZ$15)*(($AZ$22+0.5*SIN(2*$AZ$22))-($AZ$23+0.5*SIN(2*$AZ$23))))</f>
        <v>0</v>
      </c>
    </row>
    <row r="28" spans="5:52" ht="12.75">
      <c r="E28" s="41" t="s">
        <v>141</v>
      </c>
      <c r="F28" s="110">
        <v>113.0974</v>
      </c>
      <c r="G28" s="26" t="str">
        <f>IF(LEFT($F$24)&lt;&gt;"Y","DISABLED",IF($F$20=$F$19,"ENTER"," "))</f>
        <v>DISABLED</v>
      </c>
      <c r="I28" s="53" t="s">
        <v>106</v>
      </c>
      <c r="J28" s="2" t="s">
        <v>62</v>
      </c>
      <c r="K28" s="109">
        <v>12.123</v>
      </c>
      <c r="P28" s="7" t="s">
        <v>44</v>
      </c>
      <c r="Q28" s="49">
        <f>$AM$22</f>
        <v>12.123</v>
      </c>
      <c r="R28" s="40"/>
      <c r="U28" s="29" t="str">
        <f>IF(($AU$15+$T$24*COS($AU$57))&lt;$Q$28/2,"R ="," ")</f>
        <v> </v>
      </c>
      <c r="V28" s="72" t="str">
        <f>IF(($AU$15+$T$24*COS($AU$57))&lt;$Q$28/2,$AU$15+$T$24*COS($AU$57)," ")</f>
        <v> </v>
      </c>
      <c r="AF28" s="18" t="s">
        <v>1</v>
      </c>
      <c r="AG28" s="10">
        <f>$Q$28/2</f>
        <v>6.0615</v>
      </c>
      <c r="AK28" s="18" t="s">
        <v>1</v>
      </c>
      <c r="AL28" s="10">
        <f>$Q$28/2</f>
        <v>6.0615</v>
      </c>
      <c r="AO28" s="12" t="s">
        <v>103</v>
      </c>
      <c r="AT28" s="1" t="s">
        <v>100</v>
      </c>
      <c r="AU28" s="2"/>
      <c r="AY28" s="68" t="s">
        <v>18</v>
      </c>
      <c r="AZ28">
        <f>$AZ$26/($AZ$27+0.000000000000001)</f>
        <v>0</v>
      </c>
    </row>
    <row r="29" spans="4:52" ht="12.75">
      <c r="D29" s="15" t="s">
        <v>146</v>
      </c>
      <c r="E29" s="14"/>
      <c r="F29" s="14">
        <f>$F$19*($F$26+4*$F$27+$F$28)/(6*144)</f>
        <v>11.780979166666667</v>
      </c>
      <c r="I29" s="2" t="s">
        <v>74</v>
      </c>
      <c r="J29" s="2" t="s">
        <v>61</v>
      </c>
      <c r="K29" s="110">
        <v>12.123</v>
      </c>
      <c r="U29" s="23" t="str">
        <f>IF(($AU$15+$T$24*COS($AU$57))&lt;$Q$28/2,"MANUAL CALCULATION REQUIRED !"," ")</f>
        <v> </v>
      </c>
      <c r="AF29" s="18" t="s">
        <v>2</v>
      </c>
      <c r="AG29" s="10">
        <f>$AG$28</f>
        <v>6.0615</v>
      </c>
      <c r="AK29" s="18" t="s">
        <v>2</v>
      </c>
      <c r="AL29" s="10">
        <f>$AL$28</f>
        <v>6.0615</v>
      </c>
      <c r="AP29" s="33" t="s">
        <v>1</v>
      </c>
      <c r="AQ29" s="10">
        <f>$Q$18/2</f>
        <v>6.0615</v>
      </c>
      <c r="AR29" s="4"/>
      <c r="AT29" s="2"/>
      <c r="AU29" s="18" t="s">
        <v>1</v>
      </c>
      <c r="AV29" s="10">
        <f>$Q$18/2</f>
        <v>6.0615</v>
      </c>
      <c r="AW29" s="4"/>
      <c r="AY29" s="68" t="s">
        <v>22</v>
      </c>
      <c r="AZ29">
        <f>(0.25*$AZ$14*($AZ$15)^3)*(($AZ$22-0.25*SIN(4*$AZ$22))-($AZ$23-0.25*SIN(4*$AZ$23)))</f>
        <v>0</v>
      </c>
    </row>
    <row r="30" spans="4:52" ht="12.75">
      <c r="D30" s="15" t="s">
        <v>194</v>
      </c>
      <c r="F30" s="4">
        <f>$F$29*$F$16</f>
        <v>471.2391666666667</v>
      </c>
      <c r="I30" s="23" t="str">
        <f>IF(($AP$15+$T$24*COS($AU$48))&lt;$Q$28/2,"MANUAL CALCULATION REQUIRED !"," ")</f>
        <v> </v>
      </c>
      <c r="AE30" s="2"/>
      <c r="AF30" s="18" t="s">
        <v>11</v>
      </c>
      <c r="AG30" s="10">
        <v>1E-06</v>
      </c>
      <c r="AJ30" s="2"/>
      <c r="AK30" s="18" t="s">
        <v>11</v>
      </c>
      <c r="AL30" s="10">
        <v>1E-06</v>
      </c>
      <c r="AP30" s="33" t="s">
        <v>2</v>
      </c>
      <c r="AQ30" s="4">
        <f>$AQ$29</f>
        <v>6.0615</v>
      </c>
      <c r="AR30" s="4"/>
      <c r="AT30" s="2"/>
      <c r="AU30" s="18" t="s">
        <v>2</v>
      </c>
      <c r="AV30" s="4">
        <f>$AV$29</f>
        <v>6.0615</v>
      </c>
      <c r="AW30" s="4"/>
      <c r="AY30" s="68" t="s">
        <v>23</v>
      </c>
      <c r="AZ30">
        <f>$AZ$29-$AZ$27*($AZ$28)^2</f>
        <v>0</v>
      </c>
    </row>
    <row r="31" spans="4:49" ht="12.75">
      <c r="D31" s="5" t="s">
        <v>190</v>
      </c>
      <c r="F31" s="4">
        <f>IF(LEFT($F$24)="Y",$F$23+$G$24,$F$23)</f>
        <v>699.6</v>
      </c>
      <c r="J31" s="29" t="str">
        <f>IF(($AP$15+$T$24*COS($AU$48))&lt;$Q$28/2,"R ="," ")</f>
        <v> </v>
      </c>
      <c r="K31" s="72" t="str">
        <f>IF(($AP$15+$T$24*COS($AU$48))&lt;$Q$28/2,$AP$15+$T$24*COS($AU$48)," ")</f>
        <v> </v>
      </c>
      <c r="S31" s="18" t="s">
        <v>42</v>
      </c>
      <c r="T31" s="9">
        <f>$AL$33*SQRT(($AL$28)^2-($AL$31)^2)</f>
        <v>4.915124923727108E-07</v>
      </c>
      <c r="AE31" s="2"/>
      <c r="AF31" s="18" t="s">
        <v>12</v>
      </c>
      <c r="AG31" s="10">
        <f>$AM$15</f>
        <v>6.061499999999979</v>
      </c>
      <c r="AH31" s="23" t="e">
        <f>IF(#REF!&gt;#REF!,"X2 MUST BE LESS THAN or = a !"," ")</f>
        <v>#REF!</v>
      </c>
      <c r="AJ31" s="2"/>
      <c r="AK31" s="18" t="s">
        <v>12</v>
      </c>
      <c r="AL31" s="10">
        <f>$AM$16</f>
        <v>6.061499999999979</v>
      </c>
      <c r="AM31" s="23" t="e">
        <f>IF(#REF!&gt;#REF!,"X2 MUST BE LESS THAN or = a !"," ")</f>
        <v>#REF!</v>
      </c>
      <c r="AP31" s="33" t="s">
        <v>11</v>
      </c>
      <c r="AQ31" s="4">
        <f>$AQ$29-$AR$25</f>
        <v>6.061499899999999</v>
      </c>
      <c r="AR31" s="4"/>
      <c r="AT31" s="2"/>
      <c r="AU31" s="18" t="s">
        <v>11</v>
      </c>
      <c r="AV31" s="10">
        <f>SQRT(($AV$29)^2-($AV$34)^2)</f>
        <v>6.0615</v>
      </c>
      <c r="AW31" s="4"/>
    </row>
    <row r="32" spans="4:49" ht="12.75">
      <c r="D32" t="s">
        <v>191</v>
      </c>
      <c r="F32" s="4">
        <f>$F$31*$F$19</f>
        <v>10494</v>
      </c>
      <c r="P32" s="15" t="s">
        <v>41</v>
      </c>
      <c r="Q32" s="10">
        <f>$AM$25</f>
        <v>12.122999</v>
      </c>
      <c r="S32" s="33" t="s">
        <v>70</v>
      </c>
      <c r="T32" s="47">
        <f>$T$31+$T$33</f>
        <v>9.830249847454215E-07</v>
      </c>
      <c r="AE32" s="2"/>
      <c r="AF32" s="18" t="s">
        <v>25</v>
      </c>
      <c r="AJ32" s="2"/>
      <c r="AK32" s="18" t="s">
        <v>25</v>
      </c>
      <c r="AP32" s="33" t="s">
        <v>12</v>
      </c>
      <c r="AQ32" s="10">
        <f>$Q$18/2</f>
        <v>6.0615</v>
      </c>
      <c r="AR32" s="4"/>
      <c r="AT32" s="2"/>
      <c r="AU32" s="18" t="s">
        <v>12</v>
      </c>
      <c r="AV32" s="10">
        <f>SQRT(($AV$29)^2-($AV$35)^2)</f>
        <v>6.061499999999917</v>
      </c>
      <c r="AW32" s="4"/>
    </row>
    <row r="33" spans="4:52" ht="12.75">
      <c r="D33" t="s">
        <v>192</v>
      </c>
      <c r="F33" s="4">
        <f>0.5*$F$32</f>
        <v>5247</v>
      </c>
      <c r="I33" s="14" t="s">
        <v>41</v>
      </c>
      <c r="J33" s="54" t="s">
        <v>106</v>
      </c>
      <c r="K33" s="109">
        <v>12.122999</v>
      </c>
      <c r="S33" s="46" t="s">
        <v>42</v>
      </c>
      <c r="T33" s="4">
        <f>$AG$53*SQRT(($AG$48)^2-($AG$51)^2)</f>
        <v>4.915124923727108E-07</v>
      </c>
      <c r="AF33" s="18" t="s">
        <v>24</v>
      </c>
      <c r="AG33">
        <f>$AG$29/$AG$28</f>
        <v>1</v>
      </c>
      <c r="AK33" s="18" t="s">
        <v>24</v>
      </c>
      <c r="AL33">
        <f>$AL$29/$AL$28</f>
        <v>1</v>
      </c>
      <c r="AO33" s="33" t="s">
        <v>25</v>
      </c>
      <c r="AP33" s="33" t="s">
        <v>24</v>
      </c>
      <c r="AQ33" s="4">
        <f>$AQ$30/$AQ$29</f>
        <v>1</v>
      </c>
      <c r="AR33" s="4"/>
      <c r="AT33" s="18" t="s">
        <v>25</v>
      </c>
      <c r="AU33" s="18" t="s">
        <v>24</v>
      </c>
      <c r="AV33" s="4">
        <f>$AV$30/$AV$29</f>
        <v>1</v>
      </c>
      <c r="AW33" s="4"/>
      <c r="AZ33" t="s">
        <v>120</v>
      </c>
    </row>
    <row r="34" spans="4:54" ht="12.75">
      <c r="D34" t="s">
        <v>193</v>
      </c>
      <c r="F34" s="4">
        <f>12*$F$19/$F$15</f>
        <v>0.5</v>
      </c>
      <c r="J34" t="s">
        <v>74</v>
      </c>
      <c r="K34" s="110">
        <v>12.122999</v>
      </c>
      <c r="M34" s="19" t="s">
        <v>3</v>
      </c>
      <c r="N34" s="11">
        <f>$AL$62-$AS$65</f>
        <v>6.061500899999473</v>
      </c>
      <c r="AF34" s="18" t="s">
        <v>20</v>
      </c>
      <c r="AG34">
        <f>$AG$33*SQRT(($AG$28)^2-($AG$30)^2)</f>
        <v>6.061499999999917</v>
      </c>
      <c r="AK34" s="18" t="s">
        <v>20</v>
      </c>
      <c r="AL34">
        <f>$AL$33*SQRT(($AL$28)^2-($AL$30)^2)</f>
        <v>6.061499999999917</v>
      </c>
      <c r="AO34" s="12"/>
      <c r="AP34" s="33" t="s">
        <v>20</v>
      </c>
      <c r="AQ34" s="4">
        <f>SQRT(($AQ$29)^2-($AQ$31)^2)</f>
        <v>0.0011010449545538023</v>
      </c>
      <c r="AR34" s="4"/>
      <c r="AT34" s="1"/>
      <c r="AU34" s="18" t="s">
        <v>20</v>
      </c>
      <c r="AV34" s="10">
        <f>$AU$51*SIN($AU$57)</f>
        <v>5.051249916674313E-08</v>
      </c>
      <c r="AW34" s="4"/>
      <c r="AZ34" s="28" t="s">
        <v>53</v>
      </c>
      <c r="BA34" s="28" t="s">
        <v>5</v>
      </c>
      <c r="BB34" s="28" t="s">
        <v>55</v>
      </c>
    </row>
    <row r="35" spans="13:54" ht="12.75">
      <c r="M35" s="19" t="s">
        <v>90</v>
      </c>
      <c r="N35" s="40" t="s">
        <v>91</v>
      </c>
      <c r="P35" s="45"/>
      <c r="AF35" s="18" t="s">
        <v>19</v>
      </c>
      <c r="AG35" s="17">
        <f>$AG$33*SQRT(($AG$28)^2-($AG$31)^2)</f>
        <v>4.915124923727108E-07</v>
      </c>
      <c r="AK35" s="18" t="s">
        <v>19</v>
      </c>
      <c r="AL35" s="17">
        <f>$AL$33*SQRT(($AL$28)^2-($AL$31)^2)</f>
        <v>4.915124923727108E-07</v>
      </c>
      <c r="AO35" s="21"/>
      <c r="AP35" s="33" t="s">
        <v>19</v>
      </c>
      <c r="AQ35">
        <v>1E-06</v>
      </c>
      <c r="AR35" s="4"/>
      <c r="AT35" s="2"/>
      <c r="AU35" s="18" t="s">
        <v>19</v>
      </c>
      <c r="AV35">
        <v>1E-06</v>
      </c>
      <c r="AW35" s="4"/>
      <c r="AY35" s="39" t="s">
        <v>56</v>
      </c>
      <c r="AZ35" s="37">
        <f>(PI()*($Q$18)^2)/4</f>
        <v>115.42771319639584</v>
      </c>
      <c r="BA35" s="37">
        <f>$Q$37+$Q$28+0.5*$Q$18-$Q$32-$Q$23</f>
        <v>6.061501999999997</v>
      </c>
      <c r="BB35" s="37">
        <f>$AK$51*$AL$51</f>
        <v>699.6653143953795</v>
      </c>
    </row>
    <row r="36" spans="5:54" ht="12.75">
      <c r="E36" s="1" t="s">
        <v>94</v>
      </c>
      <c r="N36" s="4">
        <f>$AL$62</f>
        <v>6.061500999999473</v>
      </c>
      <c r="AF36" s="18" t="s">
        <v>13</v>
      </c>
      <c r="AG36">
        <f>ACOS($AG$30/$AG$28)</f>
        <v>1.5707961618192305</v>
      </c>
      <c r="AH36">
        <f>DEGREES($AG$36:$AG$39)</f>
        <v>89.99999054759061</v>
      </c>
      <c r="AK36" s="18" t="s">
        <v>13</v>
      </c>
      <c r="AL36">
        <f>ACOS($AL$30/$AL$28)</f>
        <v>1.5707961618192305</v>
      </c>
      <c r="AM36">
        <f>DEGREES($AL$36:$AL$39)</f>
        <v>89.99999054759061</v>
      </c>
      <c r="AO36" s="21"/>
      <c r="AP36" s="33" t="s">
        <v>13</v>
      </c>
      <c r="AQ36" s="4">
        <f>ACOS($AQ$31/$AQ$29)</f>
        <v>0.00018164562582945187</v>
      </c>
      <c r="AR36" s="20">
        <f>DEGREES($AQ$36:$AQ$39)</f>
        <v>0.010407527727040126</v>
      </c>
      <c r="AT36" s="2"/>
      <c r="AU36" s="18" t="s">
        <v>13</v>
      </c>
      <c r="AV36" s="4">
        <f>ACOS($AV$31/$AV$29)</f>
        <v>0</v>
      </c>
      <c r="AW36" s="20">
        <f>DEGREES($AV$36:$AV$39)</f>
        <v>0</v>
      </c>
      <c r="AY36" s="18" t="s">
        <v>119</v>
      </c>
      <c r="AZ36" s="2">
        <f>(PI()*($Q$28)^2)/8</f>
        <v>57.71385659819792</v>
      </c>
      <c r="BA36" s="18">
        <f>(2*$Q$28/(3*PI()))+$AL$52</f>
        <v>8.634081500137397</v>
      </c>
      <c r="BB36" s="2">
        <f>$AZ$36*$BA$36</f>
        <v>498.3061415560833</v>
      </c>
    </row>
    <row r="37" spans="3:54" ht="12.75">
      <c r="C37" s="14" t="s">
        <v>165</v>
      </c>
      <c r="J37" s="45" t="s">
        <v>30</v>
      </c>
      <c r="P37" s="45" t="s">
        <v>44</v>
      </c>
      <c r="Q37" s="50">
        <f>$AM$23</f>
        <v>12.123</v>
      </c>
      <c r="AF37" s="18" t="s">
        <v>14</v>
      </c>
      <c r="AG37">
        <f>ACOS($AG$31/$AG$28)</f>
        <v>8.161702114151126E-08</v>
      </c>
      <c r="AH37">
        <f>DEGREES($AG$36:$AG$39)</f>
        <v>4.676310847838608E-06</v>
      </c>
      <c r="AK37" s="18" t="s">
        <v>14</v>
      </c>
      <c r="AL37">
        <f>ACOS($AL$31/$AL$28)</f>
        <v>8.161702114151126E-08</v>
      </c>
      <c r="AM37">
        <f>DEGREES($AL$36:$AL$39)</f>
        <v>4.676310847838608E-06</v>
      </c>
      <c r="AO37" s="21"/>
      <c r="AP37" s="33" t="s">
        <v>14</v>
      </c>
      <c r="AQ37" s="4">
        <f>ACOS($AQ$32/$AQ$29)</f>
        <v>0</v>
      </c>
      <c r="AR37" s="20">
        <f>DEGREES($AQ$36:$AQ$39)</f>
        <v>0</v>
      </c>
      <c r="AT37" s="2"/>
      <c r="AU37" s="18" t="s">
        <v>14</v>
      </c>
      <c r="AV37" s="4">
        <f>ACOS($AV$32/$AV$29)</f>
        <v>1.6526187218701693E-07</v>
      </c>
      <c r="AW37" s="20">
        <f>DEGREES($AV$36:$AV$39)</f>
        <v>9.468807790746514E-06</v>
      </c>
      <c r="AY37" s="37" t="s">
        <v>47</v>
      </c>
      <c r="AZ37" s="37">
        <f>-(($AG$8*$AG$9)*(($AG$16+0.5*SIN(2*$AG$16))-($AG$17+0.5*SIN(2*$AG$17))))</f>
        <v>-57.71385060068828</v>
      </c>
      <c r="BA37" s="37">
        <f>$AL$51-$AG$22</f>
        <v>3.48892123252513</v>
      </c>
      <c r="BB37" s="37">
        <f>$AK$56*$AL$56</f>
        <v>-201.3590787715246</v>
      </c>
    </row>
    <row r="38" spans="4:54" ht="12.75">
      <c r="D38" s="4" t="s">
        <v>142</v>
      </c>
      <c r="E38" s="19" t="s">
        <v>197</v>
      </c>
      <c r="F38" s="63">
        <f>$AN$62</f>
        <v>1060.2555698532287</v>
      </c>
      <c r="I38" s="54" t="s">
        <v>107</v>
      </c>
      <c r="J38" t="s">
        <v>61</v>
      </c>
      <c r="K38" s="109">
        <v>12.123</v>
      </c>
      <c r="P38" s="3"/>
      <c r="AF38" s="18" t="s">
        <v>15</v>
      </c>
      <c r="AG38">
        <f>ATAN($AG$34/$AG$30)</f>
        <v>1.5707961618192305</v>
      </c>
      <c r="AH38">
        <f>DEGREES($AG$36:$AG$39)</f>
        <v>89.99999054759061</v>
      </c>
      <c r="AK38" s="18" t="s">
        <v>15</v>
      </c>
      <c r="AL38">
        <f>ATAN($AL$34/$AL$30)</f>
        <v>1.5707961618192305</v>
      </c>
      <c r="AM38">
        <f>DEGREES($AL$36:$AL$39)</f>
        <v>89.99999054759061</v>
      </c>
      <c r="AO38" s="21"/>
      <c r="AP38" s="33" t="s">
        <v>15</v>
      </c>
      <c r="AQ38" s="4">
        <f>ATAN($AQ$34/$AQ$31)</f>
        <v>0.00018164562577062718</v>
      </c>
      <c r="AR38" s="20">
        <f>DEGREES($AQ$36:$AQ$39)</f>
        <v>0.01040752772366972</v>
      </c>
      <c r="AT38" s="2"/>
      <c r="AU38" s="18" t="s">
        <v>15</v>
      </c>
      <c r="AV38" s="4">
        <f>ATAN($AV$34/$AV$31)</f>
        <v>8.333333195866226E-09</v>
      </c>
      <c r="AW38" s="20">
        <f>DEGREES($AV$36:$AV$39)</f>
        <v>4.77464821399401E-07</v>
      </c>
      <c r="AY38" s="2" t="s">
        <v>48</v>
      </c>
      <c r="AZ38" s="2">
        <f>-(($AG$28*$AG$29)*(($AG$36+0.5*SIN(2*$AG$36))-($AG$37+0.5*SIN(2*$AG$37))))</f>
        <v>-57.71385060068828</v>
      </c>
      <c r="BA38" s="2">
        <f>$AL$52+$AG$42</f>
        <v>8.634081767474868</v>
      </c>
      <c r="BB38" s="2">
        <f>$AK$57*$AL$57</f>
        <v>-498.3061052021711</v>
      </c>
    </row>
    <row r="39" spans="4:54" ht="12.75">
      <c r="D39" s="4" t="s">
        <v>143</v>
      </c>
      <c r="E39" s="15" t="s">
        <v>196</v>
      </c>
      <c r="F39" s="4">
        <f>IF($Q$16&lt;$Q$41,$Q$16,$Q$41)</f>
        <v>19.67808857514128</v>
      </c>
      <c r="G39" s="71" t="str">
        <f>IF(ABS($Q$16-$Q$41)&lt;0.001,"C = T",IF($Q$16&lt;$Q$41,"COMPRESSION","TENSION"))</f>
        <v>C = T</v>
      </c>
      <c r="I39" t="s">
        <v>74</v>
      </c>
      <c r="J39" s="15" t="s">
        <v>62</v>
      </c>
      <c r="K39" s="110">
        <v>12.123</v>
      </c>
      <c r="P39" s="3"/>
      <c r="AE39" s="32"/>
      <c r="AF39" s="18" t="s">
        <v>16</v>
      </c>
      <c r="AG39">
        <f>ATAN($T$25/$AG$31)</f>
        <v>8.108760082037638E-08</v>
      </c>
      <c r="AH39">
        <f>DEGREES($AG$36:$AG$39)</f>
        <v>4.6459772978491185E-06</v>
      </c>
      <c r="AJ39" s="32"/>
      <c r="AK39" s="18" t="s">
        <v>16</v>
      </c>
      <c r="AL39">
        <f>ATAN($T$31/$AL$31)</f>
        <v>8.108760082037638E-08</v>
      </c>
      <c r="AM39">
        <f>DEGREES($AL$36:$AL$39)</f>
        <v>4.6459772978491185E-06</v>
      </c>
      <c r="AO39" s="21"/>
      <c r="AP39" s="33" t="s">
        <v>16</v>
      </c>
      <c r="AQ39" s="4">
        <f>ATAN($AQ$35/$AQ$32)</f>
        <v>1.6497566608925034E-07</v>
      </c>
      <c r="AR39" s="20">
        <f>DEGREES($AQ$36:$AQ$39)</f>
        <v>9.45240938927358E-06</v>
      </c>
      <c r="AT39" s="2"/>
      <c r="AU39" s="18" t="s">
        <v>16</v>
      </c>
      <c r="AV39" s="4">
        <f>ATAN($AV$35/$AV$32)</f>
        <v>1.6497566608925256E-07</v>
      </c>
      <c r="AW39" s="20">
        <f>DEGREES($AV$36:$AV$39)</f>
        <v>9.452409389273707E-06</v>
      </c>
      <c r="AY39" s="59" t="s">
        <v>109</v>
      </c>
      <c r="AZ39" s="57">
        <f>-$AP$21</f>
        <v>-1.4680071154382633E-10</v>
      </c>
      <c r="BA39" s="57">
        <f>$AL$51+$AU$52</f>
        <v>12.123220068911232</v>
      </c>
      <c r="BB39" s="57">
        <f>$AL$59*$AK$59</f>
        <v>-1.7796973323185642E-09</v>
      </c>
    </row>
    <row r="40" spans="3:54" ht="12.75">
      <c r="C40" s="24" t="str">
        <f>IF($F$20=$F$19/2,"MAX. Mf"," ")</f>
        <v>MAX. Mf</v>
      </c>
      <c r="E40" s="6" t="s">
        <v>151</v>
      </c>
      <c r="F40" s="4">
        <f>$F$31*$F$20*($F$19-$F$20)/2000</f>
        <v>19.67625</v>
      </c>
      <c r="G40" s="13" t="str">
        <f>IF($F$39&lt;$F$40,"FAILED","PASSED ")</f>
        <v>PASSED </v>
      </c>
      <c r="P40" s="3"/>
      <c r="Q40" s="4" t="s">
        <v>93</v>
      </c>
      <c r="T40" s="48">
        <f>$Q$37/2-$K$47</f>
        <v>6.061499899999999</v>
      </c>
      <c r="AF40" s="18" t="s">
        <v>17</v>
      </c>
      <c r="AG40">
        <f>((2*$AG$28*($AG$29)^2)/3)*($AH$40)</f>
        <v>148.47354207224848</v>
      </c>
      <c r="AH40">
        <f>((COS($AG$37))^3)-((COS($AG$36))^3)</f>
        <v>0.99999999999999</v>
      </c>
      <c r="AK40" s="18" t="s">
        <v>17</v>
      </c>
      <c r="AL40">
        <f>((2*$AL$28*($AL$29)^2)/3)*($AM$40)</f>
        <v>148.47354207224848</v>
      </c>
      <c r="AM40">
        <f>((COS($AL$37))^3)-((COS($AL$36))^3)</f>
        <v>0.99999999999999</v>
      </c>
      <c r="AO40" s="21" t="s">
        <v>26</v>
      </c>
      <c r="AP40" s="33" t="s">
        <v>17</v>
      </c>
      <c r="AQ40" s="4">
        <f>$AR$40*(0.5*$AQ$29*($AQ$30)^2)</f>
        <v>0</v>
      </c>
      <c r="AR40">
        <f>((COS($AQ$37)-((COS($AQ$37))^3)/3))-(COS($AQ$36)-((COS($AQ$36))^3)/3)</f>
        <v>0</v>
      </c>
      <c r="AT40" s="2" t="s">
        <v>26</v>
      </c>
      <c r="AU40" s="18" t="s">
        <v>17</v>
      </c>
      <c r="AV40" s="4">
        <f>$AW$40*(0.5*$AV$29*($AV$30)^2)</f>
        <v>0</v>
      </c>
      <c r="AW40">
        <f>((COS($AV$37)-((COS($AV$37))^3)/3))-(COS($AV$36)-((COS($AV$36))^3)/3)</f>
        <v>0</v>
      </c>
      <c r="AY40" s="30" t="s">
        <v>112</v>
      </c>
      <c r="AZ40" s="23">
        <f>IF($U$18&gt;0.000001,-$AU$21,$AL$61)</f>
        <v>1E-11</v>
      </c>
      <c r="BA40" s="23">
        <f>IF($U$18&gt;0.000001,$AL$51+$AU$61,$AL$61)</f>
        <v>1E-11</v>
      </c>
      <c r="BB40" s="23">
        <f>$AL$60*$AK$60</f>
        <v>9.999999999999999E-23</v>
      </c>
    </row>
    <row r="41" spans="2:54" ht="12.75">
      <c r="B41" s="108" t="str">
        <f>IF($F$20=0,"Beam end :     MAX. Vf",IF($F$20&lt;&gt;$F$19," Check Vf at beam ends","Beam end :     MAX. Vf "))</f>
        <v> Check Vf at beam ends</v>
      </c>
      <c r="E41" s="6" t="s">
        <v>162</v>
      </c>
      <c r="F41" s="4">
        <f>ABS($F$33-$F$20*$F$31)*$H$48</f>
        <v>0</v>
      </c>
      <c r="G41" s="13" t="str">
        <f>IF($F$14&lt;$F$41,"FAILED","PASSED ")</f>
        <v>PASSED </v>
      </c>
      <c r="P41" s="19" t="s">
        <v>71</v>
      </c>
      <c r="Q41" s="31">
        <f>$AN$62*$F$13/($N$34*12000)</f>
        <v>19.67808857514128</v>
      </c>
      <c r="AF41" s="18" t="s">
        <v>21</v>
      </c>
      <c r="AG41">
        <f>(($AG$28*$AG$29)*(($AG$36+0.5*SIN(2*$AG$36))-($AG$37+0.5*SIN(2*$AG$37))))</f>
        <v>57.71385060068828</v>
      </c>
      <c r="AK41" s="18" t="s">
        <v>21</v>
      </c>
      <c r="AL41">
        <f>(($AL$28*$AL$29)*(($AL$36+0.5*SIN(2*$AL$36))-($AL$37+0.5*SIN(2*$AL$37))))</f>
        <v>57.71385060068828</v>
      </c>
      <c r="AO41" s="21">
        <f>2*$AQ$41</f>
        <v>1.468059947296844E-10</v>
      </c>
      <c r="AP41" s="33" t="s">
        <v>21</v>
      </c>
      <c r="AQ41" s="4">
        <f>0.5*$AQ$29*$AQ$30*$AR$41</f>
        <v>7.34029973648422E-11</v>
      </c>
      <c r="AR41">
        <f>(($AQ$36-0.5*SIN(2*$AQ$36))-($AQ$37-0.5*SIN(2*$AQ$37)))</f>
        <v>3.995614413334139E-12</v>
      </c>
      <c r="AT41" s="2">
        <f>2*$AV$41</f>
        <v>-1.1087034412973838E-19</v>
      </c>
      <c r="AU41" s="18" t="s">
        <v>21</v>
      </c>
      <c r="AV41" s="4">
        <f>0.5*$AV$29*$AV$30*$AW$41</f>
        <v>-5.543517206486919E-20</v>
      </c>
      <c r="AW41">
        <f>(($AV$36-0.5*SIN(2*$AV$36))-($AV$37-0.5*SIN(2*$AV$37)))</f>
        <v>-3.017554874593445E-21</v>
      </c>
      <c r="AY41" s="22" t="s">
        <v>118</v>
      </c>
      <c r="AZ41" s="22">
        <f>IF($BB$7&gt;=0,$AZ$27,-$AZ$27)</f>
        <v>0</v>
      </c>
      <c r="BA41" s="22">
        <f>IF($BB$7&gt;=0,$AL$52-$AZ$28,$AL$52+$AZ$28)</f>
        <v>6.061501</v>
      </c>
      <c r="BB41" s="22">
        <f>$BA$41*$AZ$41</f>
        <v>0</v>
      </c>
    </row>
    <row r="42" spans="2:54" ht="12.75">
      <c r="B42" s="23">
        <f>$F$20-$F$19/2</f>
        <v>0</v>
      </c>
      <c r="C42" s="24" t="str">
        <f>IF($F$20=$F$19/2,"CENTER","ft off CTR")</f>
        <v>CENTER</v>
      </c>
      <c r="E42" s="6" t="s">
        <v>152</v>
      </c>
      <c r="F42" s="4">
        <f>(12^3)*$F$31*$F$20*($F$19-$F$20)*(($F$19)^2+$F$20*($F$19-$F$20))/(24*$F$12*$F$38)</f>
        <v>0.46975002281190165</v>
      </c>
      <c r="G42" s="13" t="str">
        <f>IF($F$42&gt;$F$34,"FAILED","PASSED ")</f>
        <v>PASSED </v>
      </c>
      <c r="AF42" s="18" t="s">
        <v>18</v>
      </c>
      <c r="AG42">
        <f>$AG$40/$AG$41</f>
        <v>2.572580767474867</v>
      </c>
      <c r="AK42" s="18" t="s">
        <v>18</v>
      </c>
      <c r="AL42">
        <f>$AL$40/$AL$41</f>
        <v>2.572580767474867</v>
      </c>
      <c r="AO42" s="47" t="s">
        <v>27</v>
      </c>
      <c r="AP42" s="33" t="s">
        <v>18</v>
      </c>
      <c r="AQ42" s="4">
        <f>$AQ$40/$AQ$41</f>
        <v>0</v>
      </c>
      <c r="AT42" s="9" t="s">
        <v>27</v>
      </c>
      <c r="AU42" s="18" t="s">
        <v>18</v>
      </c>
      <c r="AV42" s="4">
        <f>$AV$40/$AV$41</f>
        <v>0</v>
      </c>
      <c r="AY42" s="19" t="s">
        <v>121</v>
      </c>
      <c r="AZ42">
        <f>SUM($AZ$35:$AZ$41)</f>
        <v>57.71386859308038</v>
      </c>
      <c r="BB42">
        <f>SUM($BB$35:$BB$41)</f>
        <v>498.3062719759874</v>
      </c>
    </row>
    <row r="43" spans="9:49" ht="12.75">
      <c r="I43" s="36" t="s">
        <v>76</v>
      </c>
      <c r="J43" s="55" t="s">
        <v>106</v>
      </c>
      <c r="K43" s="109">
        <v>1E-07</v>
      </c>
      <c r="N43" s="56" t="s">
        <v>82</v>
      </c>
      <c r="AF43" s="18" t="s">
        <v>22</v>
      </c>
      <c r="AG43">
        <f>(0.25*$AG$28*($AG$29)^3)*(($AG$36-0.25*SIN(4*$AG$36))-($AG$37-0.25*SIN(4*$AG$37)))</f>
        <v>530.1274879846784</v>
      </c>
      <c r="AK43" s="18" t="s">
        <v>22</v>
      </c>
      <c r="AL43">
        <f>(0.25*$AL$28*($AL$29)^3)*(($AL$36-0.25*SIN(4*$AL$36))-($AL$37-0.25*SIN(4*$AL$37)))</f>
        <v>530.1274879846784</v>
      </c>
      <c r="AO43" s="47" t="s">
        <v>92</v>
      </c>
      <c r="AP43" s="33" t="s">
        <v>22</v>
      </c>
      <c r="AQ43" s="4">
        <f>$AR$43*($AQ$29*($AQ$30)^3)/96</f>
        <v>1.8295350083356804E-17</v>
      </c>
      <c r="AR43">
        <f>(12*$AQ$36-8*SIN(2*$AQ$36)+SIN(4*$AQ$36))-(12*$AQ$37-8*SIN(2*$AQ$37)+SIN(4*$AQ$37))</f>
        <v>1.3010426069826053E-18</v>
      </c>
      <c r="AT43" s="9" t="s">
        <v>92</v>
      </c>
      <c r="AU43" s="18" t="s">
        <v>22</v>
      </c>
      <c r="AV43" s="4">
        <f>$AW$43*($AV$29*($AV$30)^3)/96</f>
        <v>-1.4888794013148442E-21</v>
      </c>
      <c r="AW43">
        <f>(12*$AV$36-8*SIN(2*$AV$36)+SIN(4*$AV$36))-(12*$AV$37-8*SIN(2*$AV$37)+SIN(4*$AV$37))</f>
        <v>-1.0587911840678754E-22</v>
      </c>
    </row>
    <row r="44" spans="5:49" ht="12.75">
      <c r="E44" s="7" t="s">
        <v>203</v>
      </c>
      <c r="J44" s="21" t="s">
        <v>74</v>
      </c>
      <c r="K44" s="110">
        <v>1E-07</v>
      </c>
      <c r="AF44" s="18" t="s">
        <v>23</v>
      </c>
      <c r="AG44">
        <f>$AG$43-$AG$41*($AG$42)^2</f>
        <v>148.16730917074148</v>
      </c>
      <c r="AK44" s="18" t="s">
        <v>23</v>
      </c>
      <c r="AL44">
        <f>$AL$43-$AL$41*($AL$42)^2</f>
        <v>148.16730917074148</v>
      </c>
      <c r="AO44" s="58">
        <f>2*($AR$43*($AQ$29*($AQ$30)^3)/96)</f>
        <v>3.659070016671361E-17</v>
      </c>
      <c r="AP44" s="33" t="s">
        <v>23</v>
      </c>
      <c r="AQ44" s="4">
        <f>$AQ$43-$AQ$41*($AQ$42)^2</f>
        <v>1.8295350083356804E-17</v>
      </c>
      <c r="AR44" s="4"/>
      <c r="AT44" s="65">
        <f>2*($AW$43*($AV$29*($AV$30)^3)/96)</f>
        <v>-2.9777588026296883E-21</v>
      </c>
      <c r="AU44" s="18" t="s">
        <v>23</v>
      </c>
      <c r="AV44" s="4">
        <f>$AV$43-$AV$41*($AV$42)^2</f>
        <v>-1.4888794013148442E-21</v>
      </c>
      <c r="AW44" s="4"/>
    </row>
    <row r="45" spans="4:31" ht="12.75">
      <c r="D45" s="4" t="s">
        <v>166</v>
      </c>
      <c r="G45" s="4" t="s">
        <v>154</v>
      </c>
      <c r="S45" s="14" t="s">
        <v>10</v>
      </c>
      <c r="AE45" s="2"/>
    </row>
    <row r="46" spans="3:17" ht="12.75">
      <c r="C46" t="s">
        <v>168</v>
      </c>
      <c r="E46" s="4">
        <f>12*$F$38/(($L$21)^3)</f>
        <v>7.141037330196143</v>
      </c>
      <c r="F46" t="s">
        <v>160</v>
      </c>
      <c r="H46" s="4">
        <f>$F$19*$F$27/144</f>
        <v>11.780979166666665</v>
      </c>
      <c r="I46" s="5" t="s">
        <v>167</v>
      </c>
      <c r="K46" s="33" t="s">
        <v>80</v>
      </c>
      <c r="P46" s="33" t="s">
        <v>108</v>
      </c>
      <c r="Q46" s="48">
        <f>2*$AQ$51</f>
        <v>0.0022020899091076047</v>
      </c>
    </row>
    <row r="47" spans="3:53" ht="12.75">
      <c r="C47" s="5" t="s">
        <v>169</v>
      </c>
      <c r="E47" s="4">
        <f>$L$21</f>
        <v>12.123001766059144</v>
      </c>
      <c r="F47" t="s">
        <v>161</v>
      </c>
      <c r="G47" s="6"/>
      <c r="H47" s="4">
        <f>$F$19*($F$26+$F$28+SQRT($F$26*$F$28))/(3*144)</f>
        <v>11.780979166666667</v>
      </c>
      <c r="I47" s="5" t="s">
        <v>167</v>
      </c>
      <c r="K47" s="47">
        <f>$AS$65</f>
        <v>1E-07</v>
      </c>
      <c r="P47" s="21"/>
      <c r="AF47" s="45" t="s">
        <v>30</v>
      </c>
      <c r="AP47" s="12" t="s">
        <v>75</v>
      </c>
      <c r="AQ47" s="9"/>
      <c r="AU47" s="57" t="s">
        <v>98</v>
      </c>
      <c r="AX47" s="22" t="s">
        <v>122</v>
      </c>
      <c r="AY47" s="67" t="s">
        <v>51</v>
      </c>
      <c r="AZ47" s="22" t="s">
        <v>138</v>
      </c>
      <c r="BA47" s="22"/>
    </row>
    <row r="48" spans="3:54" ht="12.75">
      <c r="C48" t="s">
        <v>201</v>
      </c>
      <c r="E48" s="4">
        <f>2*$F$38*$F$13/(12000*$E$47)</f>
        <v>19.67808863023246</v>
      </c>
      <c r="F48" s="25" t="s">
        <v>164</v>
      </c>
      <c r="G48" s="5"/>
      <c r="H48" s="26">
        <f>$BB$52/($AN$62*$BB$8)</f>
        <v>0.011551239020900361</v>
      </c>
      <c r="AF48" s="46" t="s">
        <v>1</v>
      </c>
      <c r="AG48" s="10">
        <f>$Q$37/2</f>
        <v>6.0615</v>
      </c>
      <c r="AP48" s="33" t="s">
        <v>1</v>
      </c>
      <c r="AQ48" s="10">
        <f>$Q$37/2</f>
        <v>6.0615</v>
      </c>
      <c r="AT48" s="59" t="s">
        <v>83</v>
      </c>
      <c r="AU48">
        <f>ATAN($K$17/$L$17)</f>
        <v>8.333333333333334E-09</v>
      </c>
      <c r="AV48">
        <f>DEGREES($AU$48)</f>
        <v>4.77464829275686E-07</v>
      </c>
      <c r="BB48" s="70">
        <f>$BB$42/$AZ$42</f>
        <v>8.634081965452095</v>
      </c>
    </row>
    <row r="49" spans="2:51" ht="13.5" thickBot="1">
      <c r="B49" t="s">
        <v>202</v>
      </c>
      <c r="E49" s="4">
        <f>$F$32*$F$19/8000</f>
        <v>19.67625</v>
      </c>
      <c r="G49" t="s">
        <v>163</v>
      </c>
      <c r="H49" s="4">
        <f>$F$41/$F$14</f>
        <v>0</v>
      </c>
      <c r="I49" s="30" t="str">
        <f>IF($F$20=0,"beam end",IF($F$20&lt;&gt;$F$19," ","beam end"))</f>
        <v> </v>
      </c>
      <c r="K49" s="14"/>
      <c r="AE49" s="25"/>
      <c r="AF49" s="46" t="s">
        <v>2</v>
      </c>
      <c r="AG49" s="10">
        <f>$AG$48</f>
        <v>6.0615</v>
      </c>
      <c r="AK49" t="s">
        <v>52</v>
      </c>
      <c r="AP49" s="33" t="s">
        <v>2</v>
      </c>
      <c r="AQ49" s="10">
        <f>$AQ$48</f>
        <v>6.0615</v>
      </c>
      <c r="AT49" s="59" t="s">
        <v>84</v>
      </c>
      <c r="AU49">
        <f>0.5*PI()-$AU$48</f>
        <v>1.5707963184615632</v>
      </c>
      <c r="AV49">
        <f>DEGREES($AU$49)</f>
        <v>89.99999952253516</v>
      </c>
      <c r="AY49" s="67" t="s">
        <v>137</v>
      </c>
    </row>
    <row r="50" spans="3:54" ht="12.75">
      <c r="C50" t="s">
        <v>170</v>
      </c>
      <c r="E50" s="4">
        <f>1.5*$F$33/($E$46*$E$47)</f>
        <v>90.91401786335614</v>
      </c>
      <c r="F50" s="23">
        <f>$F$20-$F$19/2</f>
        <v>0</v>
      </c>
      <c r="G50" t="s">
        <v>153</v>
      </c>
      <c r="H50" s="4">
        <f>$F$40/$F$39</f>
        <v>0.9999065673917331</v>
      </c>
      <c r="I50" s="30" t="str">
        <f>IF($F$20=$F$19/2,"CENTER","off center ")</f>
        <v>CENTER</v>
      </c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AE50" s="25"/>
      <c r="AF50" s="46" t="s">
        <v>11</v>
      </c>
      <c r="AG50" s="10">
        <v>1E-06</v>
      </c>
      <c r="AK50" t="s">
        <v>53</v>
      </c>
      <c r="AL50" t="s">
        <v>54</v>
      </c>
      <c r="AM50" t="s">
        <v>55</v>
      </c>
      <c r="AN50" t="s">
        <v>58</v>
      </c>
      <c r="AP50" s="33" t="s">
        <v>11</v>
      </c>
      <c r="AQ50" s="10">
        <v>1E-06</v>
      </c>
      <c r="AT50" s="59" t="s">
        <v>85</v>
      </c>
      <c r="AU50">
        <f>$AP$11/(SIN($AU$48))</f>
        <v>132125.3945464563</v>
      </c>
      <c r="AV50" s="57" t="s">
        <v>97</v>
      </c>
      <c r="AZ50" s="22" t="s">
        <v>125</v>
      </c>
      <c r="BA50" s="22"/>
      <c r="BB50" s="69">
        <f>$BB$48-$AL$62</f>
        <v>2.572580965452622</v>
      </c>
    </row>
    <row r="51" spans="2:54" ht="12.75">
      <c r="B51" t="s">
        <v>205</v>
      </c>
      <c r="D51" s="6"/>
      <c r="E51" s="4">
        <f>5*$F$32*(12*$F$19)^3/(384*$F$12*$F$38)</f>
        <v>0.46975002281190165</v>
      </c>
      <c r="F51" s="15"/>
      <c r="G51" s="15"/>
      <c r="H51" s="41" t="s">
        <v>198</v>
      </c>
      <c r="I51" s="11">
        <f>2*(SQRT((0.5*$AM$22)^2-($BB$7)^2))</f>
        <v>12.123</v>
      </c>
      <c r="K51" s="80"/>
      <c r="L51" s="85"/>
      <c r="M51" s="86"/>
      <c r="N51" s="86"/>
      <c r="O51" s="86"/>
      <c r="P51" s="86"/>
      <c r="Q51" s="86"/>
      <c r="R51" s="86"/>
      <c r="S51" s="86"/>
      <c r="T51" s="86"/>
      <c r="U51" s="87"/>
      <c r="V51" s="81"/>
      <c r="AE51" s="25"/>
      <c r="AF51" s="46" t="s">
        <v>12</v>
      </c>
      <c r="AG51" s="10">
        <f>$AM$17</f>
        <v>6.061499999999979</v>
      </c>
      <c r="AH51" s="23" t="e">
        <f>IF(#REF!&gt;#REF!,"X2 MUST BE LESS THAN or = a !"," ")</f>
        <v>#REF!</v>
      </c>
      <c r="AJ51" s="39" t="s">
        <v>56</v>
      </c>
      <c r="AK51" s="37">
        <f>(PI()*($Q$18)^2)/4</f>
        <v>115.42771319639584</v>
      </c>
      <c r="AL51" s="37">
        <f>$Q$37+$Q$28+0.5*$Q$18-$Q$32-$Q$23</f>
        <v>6.061501999999997</v>
      </c>
      <c r="AM51" s="37">
        <f>$AK$51*$AL$51</f>
        <v>699.6653143953795</v>
      </c>
      <c r="AN51" s="37">
        <f>((PI()/64)*($Q$18)^4)+$AK$51*($AL$51)^2</f>
        <v>5301.277678507576</v>
      </c>
      <c r="AP51" s="33" t="s">
        <v>12</v>
      </c>
      <c r="AQ51" s="10">
        <f>SQRT(($AQ$48)^2-($AQ$55)^2)</f>
        <v>0.0011010449545538023</v>
      </c>
      <c r="AR51" s="23" t="e">
        <f>IF(#REF!&gt;#REF!,"X2 MUST BE LESS THAN or = a !"," ")</f>
        <v>#REF!</v>
      </c>
      <c r="AT51" s="59" t="s">
        <v>87</v>
      </c>
      <c r="AU51">
        <f>$AP$11*(SIN($AU$48))+$AP$15*(COS($AU$48))</f>
        <v>6.061499900009175</v>
      </c>
      <c r="AV51" s="57" t="s">
        <v>86</v>
      </c>
      <c r="BB51" s="5"/>
    </row>
    <row r="52" spans="3:54" ht="12.75">
      <c r="C52" s="25"/>
      <c r="D52" t="s">
        <v>171</v>
      </c>
      <c r="E52" s="4">
        <f>$E$50/$F$14</f>
        <v>1.0695766807453664</v>
      </c>
      <c r="F52" s="15"/>
      <c r="G52" s="11" t="s">
        <v>188</v>
      </c>
      <c r="H52" s="41"/>
      <c r="I52" s="5">
        <f>SUM($AZ$35:$AZ$41)</f>
        <v>57.71386859308038</v>
      </c>
      <c r="K52" s="80"/>
      <c r="L52" s="88"/>
      <c r="M52" s="74" t="s">
        <v>159</v>
      </c>
      <c r="N52" s="75"/>
      <c r="O52" s="75"/>
      <c r="P52" s="75"/>
      <c r="Q52" s="75"/>
      <c r="R52" s="75"/>
      <c r="S52" s="75"/>
      <c r="T52" s="75"/>
      <c r="U52" s="89"/>
      <c r="V52" s="81"/>
      <c r="AE52" s="25"/>
      <c r="AF52" s="46" t="s">
        <v>25</v>
      </c>
      <c r="AJ52" s="18" t="s">
        <v>57</v>
      </c>
      <c r="AK52" s="2">
        <f>(PI()*($Q$28)^2)/4</f>
        <v>115.42771319639584</v>
      </c>
      <c r="AL52" s="2">
        <f>$Q$37+0.5*$Q$28-$Q$32</f>
        <v>6.061501</v>
      </c>
      <c r="AM52" s="2">
        <f>$AK$52*$AL$52</f>
        <v>699.6651989676666</v>
      </c>
      <c r="AN52" s="2">
        <f>((PI()/64)*($Q$28)^4)+$AK$52*($AL$52)^2</f>
        <v>5301.2762791770665</v>
      </c>
      <c r="AP52" s="33" t="s">
        <v>25</v>
      </c>
      <c r="AT52" s="59" t="s">
        <v>88</v>
      </c>
      <c r="AU52">
        <f>$AP$22*SIN($AU$49)</f>
        <v>6.061718068911235</v>
      </c>
      <c r="AX52" s="22" t="s">
        <v>126</v>
      </c>
      <c r="BA52" s="27" t="s">
        <v>123</v>
      </c>
      <c r="BB52" s="69">
        <f>$AZ$42*$BB$50</f>
        <v>148.47359978519248</v>
      </c>
    </row>
    <row r="53" spans="4:54" ht="12.75">
      <c r="D53" t="s">
        <v>200</v>
      </c>
      <c r="E53" s="4">
        <f>$E$49/$E$48</f>
        <v>0.9999065645923744</v>
      </c>
      <c r="F53" s="11" t="s">
        <v>199</v>
      </c>
      <c r="G53" s="15"/>
      <c r="H53" s="15"/>
      <c r="I53" s="11">
        <f>$BB$48-$AL$62</f>
        <v>2.572580965452622</v>
      </c>
      <c r="K53" s="80"/>
      <c r="L53" s="88"/>
      <c r="M53" s="75" t="s">
        <v>173</v>
      </c>
      <c r="N53" s="75"/>
      <c r="O53" s="75"/>
      <c r="P53" s="75"/>
      <c r="Q53" s="75"/>
      <c r="R53" s="75"/>
      <c r="S53" s="75"/>
      <c r="T53" s="75"/>
      <c r="U53" s="89"/>
      <c r="V53" s="81"/>
      <c r="AF53" s="46" t="s">
        <v>24</v>
      </c>
      <c r="AG53">
        <f>$AG$49/$AG$48</f>
        <v>1</v>
      </c>
      <c r="AJ53" s="6" t="s">
        <v>49</v>
      </c>
      <c r="AK53">
        <f>(PI()*($Q$37)^2)/4</f>
        <v>115.42771319639584</v>
      </c>
      <c r="AL53">
        <f>0.5*$Q$37</f>
        <v>6.0615</v>
      </c>
      <c r="AM53">
        <f>$AK$53*$AL$53</f>
        <v>699.6650835399533</v>
      </c>
      <c r="AN53">
        <f>((PI()/64)*($Q$37)^4)+$AK$53*($AL$53)^2</f>
        <v>5301.274879846783</v>
      </c>
      <c r="AP53" s="33" t="s">
        <v>24</v>
      </c>
      <c r="AQ53">
        <f>$AQ$48/$AQ$49</f>
        <v>1</v>
      </c>
      <c r="AT53" s="59" t="s">
        <v>89</v>
      </c>
      <c r="AU53">
        <f>$AO$44*(COS($AU$49))^2+$AP$24*(SIN($AU$49))^2</f>
        <v>-2.38221087679146E-13</v>
      </c>
      <c r="AY53" s="22" t="s">
        <v>128</v>
      </c>
      <c r="BB53" s="5"/>
    </row>
    <row r="54" spans="6:54" ht="12.75">
      <c r="F54" s="15"/>
      <c r="G54" s="15"/>
      <c r="H54" s="41" t="s">
        <v>187</v>
      </c>
      <c r="I54" s="11">
        <f>$AZ$42*$BB$50</f>
        <v>148.47359978519248</v>
      </c>
      <c r="K54" s="80"/>
      <c r="L54" s="88"/>
      <c r="M54" s="75" t="s">
        <v>149</v>
      </c>
      <c r="N54" s="76"/>
      <c r="O54" s="75"/>
      <c r="P54" s="75"/>
      <c r="Q54" s="75"/>
      <c r="R54" s="75"/>
      <c r="S54" s="75"/>
      <c r="T54" s="75"/>
      <c r="U54" s="89"/>
      <c r="V54" s="81"/>
      <c r="AE54" s="25"/>
      <c r="AF54" s="46" t="s">
        <v>20</v>
      </c>
      <c r="AG54">
        <f>$AG$53*SQRT(($AG$48)^2-($AG$50)^2)</f>
        <v>6.061499999999917</v>
      </c>
      <c r="AJ54" s="2" t="s">
        <v>45</v>
      </c>
      <c r="AK54" s="2">
        <f>-(($AL$28*$AL$29)*(($AL$36+0.5*SIN(2*$AL$36))-($AL$37+0.5*SIN(2*$AL$37))))</f>
        <v>-57.71385060068828</v>
      </c>
      <c r="AL54" s="2">
        <f>$AL$52-$AL$42</f>
        <v>3.4889202325251327</v>
      </c>
      <c r="AM54" s="2">
        <f>$AK$54*$AL$54</f>
        <v>-201.35902105767414</v>
      </c>
      <c r="AN54" s="2">
        <f>-($AL$43-$AL$41*($AL$42)^2)+$AK$54*($AL$54)^2</f>
        <v>-850.692871740315</v>
      </c>
      <c r="AP54" s="33" t="s">
        <v>20</v>
      </c>
      <c r="AQ54">
        <f>$AQ$48</f>
        <v>6.0615</v>
      </c>
      <c r="AT54" s="59" t="s">
        <v>58</v>
      </c>
      <c r="AU54">
        <f>$AU$53+$AP$21*($AU$52)^2</f>
        <v>5.39386965319621E-09</v>
      </c>
      <c r="BA54" s="67" t="s">
        <v>127</v>
      </c>
      <c r="BB54" s="69">
        <f>$BB$52/($AN$62*$BB$8)</f>
        <v>0.011551239020900361</v>
      </c>
    </row>
    <row r="55" spans="11:43" ht="12.75">
      <c r="K55" s="80"/>
      <c r="L55" s="90"/>
      <c r="M55" s="75" t="s">
        <v>180</v>
      </c>
      <c r="N55" s="75"/>
      <c r="O55" s="75"/>
      <c r="P55" s="75"/>
      <c r="Q55" s="75"/>
      <c r="R55" s="75"/>
      <c r="S55" s="75"/>
      <c r="T55" s="75"/>
      <c r="U55" s="89"/>
      <c r="V55" s="81"/>
      <c r="AE55" s="25"/>
      <c r="AF55" s="46" t="s">
        <v>19</v>
      </c>
      <c r="AG55" s="17">
        <f>$AG$53*SQRT(($AG$48)^2-($AG$51)^2)</f>
        <v>4.915124923727108E-07</v>
      </c>
      <c r="AJ55" t="s">
        <v>46</v>
      </c>
      <c r="AK55">
        <f>-(($AG$48*$AG$49)*(($AG$56+0.5*SIN(2*$AG$56))-($AG$57+0.5*SIN(2*$AG$57))))</f>
        <v>-57.71385060068828</v>
      </c>
      <c r="AL55">
        <f>0.5*$Q$37+$AG$62</f>
        <v>8.634080767474867</v>
      </c>
      <c r="AM55">
        <f>$AK$55*$AL$55</f>
        <v>-498.3060474883205</v>
      </c>
      <c r="AN55">
        <f>-($AG$63-$AG$61*($AG$62)^2)+$AK$55*($AL$55)^2</f>
        <v>-4450.581970106066</v>
      </c>
      <c r="AP55" s="33" t="s">
        <v>19</v>
      </c>
      <c r="AQ55" s="17">
        <f>$AQ$48-$AS$65</f>
        <v>6.061499899999999</v>
      </c>
    </row>
    <row r="56" spans="5:47" ht="12.75">
      <c r="E56" s="22"/>
      <c r="K56" s="80"/>
      <c r="L56" s="88"/>
      <c r="M56" s="75"/>
      <c r="N56" s="75" t="s">
        <v>181</v>
      </c>
      <c r="O56" s="75"/>
      <c r="P56" s="75"/>
      <c r="Q56" s="75"/>
      <c r="R56" s="75"/>
      <c r="S56" s="75"/>
      <c r="T56" s="75"/>
      <c r="U56" s="89"/>
      <c r="V56" s="81"/>
      <c r="AE56" s="25"/>
      <c r="AF56" s="46" t="s">
        <v>13</v>
      </c>
      <c r="AG56">
        <f>ACOS($AG$50/$AG$48)</f>
        <v>1.5707961618192305</v>
      </c>
      <c r="AH56">
        <f>DEGREES($AG$56:$AG$59)</f>
        <v>89.99999054759061</v>
      </c>
      <c r="AJ56" s="37" t="s">
        <v>47</v>
      </c>
      <c r="AK56" s="37">
        <f>-(($AG$8*$AG$9)*(($AG$16+0.5*SIN(2*$AG$16))-($AG$17+0.5*SIN(2*$AG$17))))</f>
        <v>-57.71385060068828</v>
      </c>
      <c r="AL56" s="37">
        <f>$AL$51-$AG$22</f>
        <v>3.48892123252513</v>
      </c>
      <c r="AM56" s="37">
        <f>$AK$56*$AL$56</f>
        <v>-201.3590787715246</v>
      </c>
      <c r="AN56" s="37">
        <f>-($AG$23-$AG$21*($AG$22)^2)+$AK$56*($AL$56)^2</f>
        <v>-850.6932744584137</v>
      </c>
      <c r="AP56" s="33" t="s">
        <v>13</v>
      </c>
      <c r="AQ56">
        <f>ACOS($AQ$50/$AQ$48)</f>
        <v>1.5707961618192305</v>
      </c>
      <c r="AR56">
        <f>DEGREES($AQ$56:$AQ$59)</f>
        <v>89.99999054759061</v>
      </c>
      <c r="AU56" s="23" t="s">
        <v>99</v>
      </c>
    </row>
    <row r="57" spans="11:48" ht="12.75">
      <c r="K57" s="80"/>
      <c r="L57" s="88"/>
      <c r="M57" s="75" t="s">
        <v>150</v>
      </c>
      <c r="N57" s="75"/>
      <c r="O57" s="75"/>
      <c r="P57" s="75"/>
      <c r="Q57" s="75"/>
      <c r="R57" s="75"/>
      <c r="S57" s="75"/>
      <c r="T57" s="75"/>
      <c r="U57" s="89"/>
      <c r="V57" s="81"/>
      <c r="AE57" s="25"/>
      <c r="AF57" s="46" t="s">
        <v>14</v>
      </c>
      <c r="AG57">
        <f>ACOS($AG$51/$AG$48)</f>
        <v>8.161702114151126E-08</v>
      </c>
      <c r="AH57">
        <f>DEGREES($AG$56:$AG$59)</f>
        <v>4.676310847838608E-06</v>
      </c>
      <c r="AJ57" s="2" t="s">
        <v>48</v>
      </c>
      <c r="AK57" s="2">
        <f>-(($AG$28*$AG$29)*(($AG$36+0.5*SIN(2*$AG$36))-($AG$37+0.5*SIN(2*$AG$37))))</f>
        <v>-57.71385060068828</v>
      </c>
      <c r="AL57" s="2">
        <f>$AL$52+$AG$42</f>
        <v>8.634081767474868</v>
      </c>
      <c r="AM57" s="2">
        <f>$AK$57*$AL$57</f>
        <v>-498.3061052021711</v>
      </c>
      <c r="AN57" s="2">
        <f>-($AG$43-$AG$41*($AG$42)^2)+$AK$57*($AL$57)^2</f>
        <v>-4450.5829667182215</v>
      </c>
      <c r="AP57" s="33" t="s">
        <v>14</v>
      </c>
      <c r="AQ57">
        <f>ACOS($AQ$51/$AQ$48)</f>
        <v>1.570614681169126</v>
      </c>
      <c r="AR57">
        <f>DEGREES($AQ$56:$AQ$59)</f>
        <v>89.98959247227633</v>
      </c>
      <c r="AT57" s="30" t="s">
        <v>83</v>
      </c>
      <c r="AU57" s="3">
        <f>ATAN($U$18/$V$18)</f>
        <v>8.333333333333334E-09</v>
      </c>
      <c r="AV57">
        <f>DEGREES($AU$57)</f>
        <v>4.77464829275686E-07</v>
      </c>
    </row>
    <row r="58" spans="11:48" ht="12.75">
      <c r="K58" s="80"/>
      <c r="L58" s="88"/>
      <c r="M58" s="75" t="s">
        <v>155</v>
      </c>
      <c r="N58" s="75"/>
      <c r="O58" s="75"/>
      <c r="P58" s="75"/>
      <c r="Q58" s="75"/>
      <c r="R58" s="75"/>
      <c r="S58" s="75"/>
      <c r="T58" s="75"/>
      <c r="U58" s="89"/>
      <c r="V58" s="81"/>
      <c r="AE58" s="25"/>
      <c r="AF58" s="46" t="s">
        <v>15</v>
      </c>
      <c r="AG58">
        <f>ATAN($AG$54/$AG$50)</f>
        <v>1.5707961618192305</v>
      </c>
      <c r="AH58">
        <f>DEGREES($AG$56:$AG$59)</f>
        <v>89.99999054759061</v>
      </c>
      <c r="AJ58" s="33" t="s">
        <v>81</v>
      </c>
      <c r="AK58" s="21">
        <f>-(($AQ$48*$AQ$49)*(($AQ$56+0.5*SIN(2*$AQ$56))-($AQ$57+0.5*SIN(2*$AQ$57))))</f>
        <v>-1.4680071154382633E-10</v>
      </c>
      <c r="AL58" s="21">
        <f>($Q$37/2)-$AQ$62</f>
        <v>-0.0002180689112352141</v>
      </c>
      <c r="AM58" s="21">
        <f>$AK$58*$AL$58</f>
        <v>3.2012671334916936E-14</v>
      </c>
      <c r="AN58" s="21">
        <f>-($AQ$63-$AQ$61*($AQ$62)^2)+$AK$58*($AL$58)^2</f>
        <v>2.3821410671076227E-13</v>
      </c>
      <c r="AP58" s="33" t="s">
        <v>15</v>
      </c>
      <c r="AQ58">
        <f>ATAN($AQ$54/$AQ$50)</f>
        <v>1.5707961618192305</v>
      </c>
      <c r="AR58">
        <f>DEGREES($AQ$56:$AQ$59)</f>
        <v>89.99999054759061</v>
      </c>
      <c r="AT58" s="30" t="s">
        <v>84</v>
      </c>
      <c r="AU58">
        <f>0.5*PI()-$AU$57</f>
        <v>1.5707963184615632</v>
      </c>
      <c r="AV58">
        <f>DEGREES($AU$58)</f>
        <v>89.99999952253516</v>
      </c>
    </row>
    <row r="59" spans="11:48" ht="12.75">
      <c r="K59" s="80"/>
      <c r="L59" s="88"/>
      <c r="M59" s="75"/>
      <c r="N59" s="75" t="s">
        <v>182</v>
      </c>
      <c r="O59" s="75"/>
      <c r="P59" s="75"/>
      <c r="Q59" s="75"/>
      <c r="R59" s="75"/>
      <c r="S59" s="75"/>
      <c r="T59" s="75"/>
      <c r="U59" s="89"/>
      <c r="V59" s="81"/>
      <c r="AE59" s="25"/>
      <c r="AF59" s="46" t="s">
        <v>16</v>
      </c>
      <c r="AG59">
        <f>ATAN($T$33/$AG$51)</f>
        <v>8.108760082037638E-08</v>
      </c>
      <c r="AH59">
        <f>DEGREES($AG$56:$AG$59)</f>
        <v>4.6459772978491185E-06</v>
      </c>
      <c r="AI59" s="57"/>
      <c r="AJ59" s="59" t="s">
        <v>109</v>
      </c>
      <c r="AK59" s="57">
        <f>-$AP$21</f>
        <v>-1.4680071154382633E-10</v>
      </c>
      <c r="AL59" s="57">
        <f>$AL$51+$AU$52</f>
        <v>12.123220068911232</v>
      </c>
      <c r="AM59" s="57">
        <f>$AL$59*$AK$59</f>
        <v>-1.7796973323185642E-09</v>
      </c>
      <c r="AN59" s="57">
        <f>-$AU$53+$AK$59*($AL$59)^2</f>
        <v>-2.1575424194664522E-08</v>
      </c>
      <c r="AP59" s="33" t="s">
        <v>16</v>
      </c>
      <c r="AQ59">
        <f>ATAN($AQ$55/$AQ$51)</f>
        <v>1.570614681169126</v>
      </c>
      <c r="AR59">
        <f>DEGREES($AQ$56:$AQ$59)</f>
        <v>89.98959247227633</v>
      </c>
      <c r="AT59" s="30" t="s">
        <v>85</v>
      </c>
      <c r="AU59">
        <f>$AU$11/(SIN($AU$57))</f>
        <v>132119.33238946716</v>
      </c>
      <c r="AV59" s="23" t="s">
        <v>97</v>
      </c>
    </row>
    <row r="60" spans="11:48" ht="12.75">
      <c r="K60" s="80"/>
      <c r="L60" s="88"/>
      <c r="M60" s="75" t="s">
        <v>156</v>
      </c>
      <c r="N60" s="75"/>
      <c r="O60" s="75"/>
      <c r="P60" s="75"/>
      <c r="Q60" s="75"/>
      <c r="R60" s="75"/>
      <c r="S60" s="75"/>
      <c r="T60" s="75"/>
      <c r="U60" s="89"/>
      <c r="V60" s="81"/>
      <c r="AE60" s="25"/>
      <c r="AF60" s="46" t="s">
        <v>17</v>
      </c>
      <c r="AG60">
        <f>((2*$AG$48*($AG$49)^2)/3)*($AH$60)</f>
        <v>148.47354207224848</v>
      </c>
      <c r="AH60">
        <f>((COS($AG$57))^3)-((COS($AG$56))^3)</f>
        <v>0.99999999999999</v>
      </c>
      <c r="AI60" s="23"/>
      <c r="AJ60" s="30" t="s">
        <v>112</v>
      </c>
      <c r="AK60" s="23">
        <f>IF($U$18&gt;0.000001,-$AU$21,$AL$61)</f>
        <v>1E-11</v>
      </c>
      <c r="AL60" s="23">
        <f>IF($U$18&gt;0.000001,$AL$51+$AU$61,$AL$61)</f>
        <v>1E-11</v>
      </c>
      <c r="AM60" s="23">
        <f>$AL$60*$AK$60</f>
        <v>9.999999999999999E-23</v>
      </c>
      <c r="AN60" s="23">
        <f>IF($U$18&gt;0.000001,-$AU$62+$AK$60*($AL$60)^2,$AL$61)</f>
        <v>1E-11</v>
      </c>
      <c r="AP60" s="33" t="s">
        <v>17</v>
      </c>
      <c r="AQ60">
        <f>((2*$AQ$48*($AQ$49)^2)/3)*($AR$60)</f>
        <v>8.898645256942382E-10</v>
      </c>
      <c r="AR60">
        <f>((COS($AQ$57))^3)-((COS($AQ$56))^3)</f>
        <v>5.993421543490986E-12</v>
      </c>
      <c r="AT60" s="30" t="s">
        <v>87</v>
      </c>
      <c r="AU60">
        <f>$AU$11*(SIN($AU$57))+$AU$15*(COS($AU$57))</f>
        <v>6.06149990001835</v>
      </c>
      <c r="AV60" s="23" t="s">
        <v>86</v>
      </c>
    </row>
    <row r="61" spans="11:47" ht="12.75">
      <c r="K61" s="80"/>
      <c r="L61" s="88"/>
      <c r="M61" s="75" t="s">
        <v>183</v>
      </c>
      <c r="N61" s="75"/>
      <c r="O61" s="75"/>
      <c r="P61" s="75"/>
      <c r="Q61" s="75"/>
      <c r="R61" s="75"/>
      <c r="S61" s="75"/>
      <c r="T61" s="75"/>
      <c r="U61" s="89"/>
      <c r="V61" s="81"/>
      <c r="AE61" s="25"/>
      <c r="AF61" s="46" t="s">
        <v>21</v>
      </c>
      <c r="AG61">
        <f>(($AG$48*$AG$49)*(($AG$56+0.5*SIN(2*$AG$56))-($AG$57+0.5*SIN(2*$AG$57))))</f>
        <v>57.71385060068828</v>
      </c>
      <c r="AJ61" s="36" t="s">
        <v>59</v>
      </c>
      <c r="AK61" s="12">
        <f>SUM($AK$51:$AK$60)</f>
        <v>115.42773718615078</v>
      </c>
      <c r="AL61">
        <f>0.00000000001</f>
        <v>1E-11</v>
      </c>
      <c r="AM61" s="12">
        <f>SUM($AM$51:$AM$60)</f>
        <v>699.6653443815293</v>
      </c>
      <c r="AN61" s="12">
        <f>SUM($AN$51:$AN$60)</f>
        <v>5301.277754486844</v>
      </c>
      <c r="AP61" s="33" t="s">
        <v>21</v>
      </c>
      <c r="AQ61">
        <f>(($AQ$48*$AQ$49)*(($AQ$56+0.5*SIN(2*$AQ$56))-($AQ$57+0.5*SIN(2*$AQ$57))))</f>
        <v>1.4680071154382633E-10</v>
      </c>
      <c r="AT61" s="30" t="s">
        <v>88</v>
      </c>
      <c r="AU61">
        <f>$AU$22*SIN($AU$58)</f>
        <v>6.061557469718678</v>
      </c>
    </row>
    <row r="62" spans="11:47" ht="12.75">
      <c r="K62" s="80"/>
      <c r="L62" s="88"/>
      <c r="M62" s="75"/>
      <c r="N62" s="75" t="s">
        <v>184</v>
      </c>
      <c r="O62" s="75"/>
      <c r="P62" s="75"/>
      <c r="Q62" s="75"/>
      <c r="R62" s="75"/>
      <c r="S62" s="75"/>
      <c r="T62" s="75"/>
      <c r="U62" s="89"/>
      <c r="V62" s="81"/>
      <c r="AE62" s="25"/>
      <c r="AF62" s="46" t="s">
        <v>18</v>
      </c>
      <c r="AG62">
        <f>$AG$60/$AG$61</f>
        <v>2.572580767474867</v>
      </c>
      <c r="AJ62" s="14" t="s">
        <v>51</v>
      </c>
      <c r="AK62" s="15" t="s">
        <v>60</v>
      </c>
      <c r="AL62" s="14">
        <f>$AM$61/$AK$61</f>
        <v>6.061500999999473</v>
      </c>
      <c r="AM62" s="19" t="s">
        <v>50</v>
      </c>
      <c r="AN62" s="14">
        <f>$AN$61-$AK$61*($AL$62)^2</f>
        <v>1060.2555698532287</v>
      </c>
      <c r="AP62" s="33" t="s">
        <v>18</v>
      </c>
      <c r="AQ62">
        <f>$AQ$60/$AQ$61</f>
        <v>6.061718068911235</v>
      </c>
      <c r="AT62" s="30" t="s">
        <v>89</v>
      </c>
      <c r="AU62">
        <f>$AT$44*(COS($AU$58))^2+$AU$24*(SIN($AU$58))^2</f>
        <v>-1.0226596530001346E-13</v>
      </c>
    </row>
    <row r="63" spans="11:47" ht="12.75">
      <c r="K63" s="80"/>
      <c r="L63" s="88"/>
      <c r="M63" s="75"/>
      <c r="N63" s="75" t="s">
        <v>157</v>
      </c>
      <c r="O63" s="75"/>
      <c r="P63" s="75"/>
      <c r="Q63" s="75"/>
      <c r="R63" s="75"/>
      <c r="S63" s="75"/>
      <c r="T63" s="75"/>
      <c r="U63" s="89"/>
      <c r="V63" s="81"/>
      <c r="AE63" s="25"/>
      <c r="AF63" s="46" t="s">
        <v>22</v>
      </c>
      <c r="AG63">
        <f>(0.25*$AG$48*($AG$49)^3)*(($AG$56-0.25*SIN(4*$AG$56))-($AG$57-0.25*SIN(4*$AG$57)))</f>
        <v>530.1274879846784</v>
      </c>
      <c r="AP63" s="33" t="s">
        <v>22</v>
      </c>
      <c r="AQ63">
        <f>(0.25*$AQ$48*($AQ$49)^3)*(($AQ$56-0.25*SIN(4*$AQ$56))-($AQ$57-0.25*SIN(4*$AQ$57)))</f>
        <v>5.39386965319621E-09</v>
      </c>
      <c r="AT63" s="30" t="s">
        <v>58</v>
      </c>
      <c r="AU63">
        <f>$AU$62+$AU$21*($AU$61)^2</f>
        <v>5.393120275656796E-09</v>
      </c>
    </row>
    <row r="64" spans="11:43" ht="12.75">
      <c r="K64" s="80"/>
      <c r="L64" s="88"/>
      <c r="M64" s="75" t="s">
        <v>185</v>
      </c>
      <c r="N64" s="75"/>
      <c r="O64" s="75"/>
      <c r="P64" s="75"/>
      <c r="Q64" s="75"/>
      <c r="R64" s="75"/>
      <c r="S64" s="75"/>
      <c r="T64" s="75"/>
      <c r="U64" s="89"/>
      <c r="V64" s="81"/>
      <c r="AE64" s="25"/>
      <c r="AF64" s="46" t="s">
        <v>23</v>
      </c>
      <c r="AG64">
        <f>$AG$63-$AG$61*($AG$62)^2</f>
        <v>148.16730917074148</v>
      </c>
      <c r="AJ64" s="33" t="s">
        <v>110</v>
      </c>
      <c r="AK64" s="21">
        <f>-(($AP$8*$AP$9)*(($AP$16+0.5*SIN(2*$AP$16))-($AP$17+0.5*SIN(2*$AP$17))))</f>
        <v>-1.4680071154382633E-10</v>
      </c>
      <c r="AL64" s="21">
        <f>$AL$51+$AP$22</f>
        <v>12.123220068911232</v>
      </c>
      <c r="AM64" s="21">
        <f>$AK$64*$AL$64</f>
        <v>-1.7796973323185642E-09</v>
      </c>
      <c r="AN64" s="21">
        <f>-($AP$23-$AP$21*($AP$22)^2)+$AK$64*($AL$64)^2</f>
        <v>-2.1575424194664522E-08</v>
      </c>
      <c r="AP64" s="33" t="s">
        <v>23</v>
      </c>
      <c r="AQ64">
        <f>$AQ$63-$AQ$61*($AQ$62)^2</f>
        <v>-2.38221087679146E-13</v>
      </c>
    </row>
    <row r="65" spans="11:45" ht="12.75">
      <c r="K65" s="80"/>
      <c r="L65" s="88"/>
      <c r="M65" s="75"/>
      <c r="N65" s="75" t="s">
        <v>158</v>
      </c>
      <c r="O65" s="75"/>
      <c r="P65" s="75"/>
      <c r="Q65" s="75"/>
      <c r="R65" s="75"/>
      <c r="S65" s="75"/>
      <c r="T65" s="75"/>
      <c r="U65" s="89"/>
      <c r="V65" s="81"/>
      <c r="AJ65" s="18" t="s">
        <v>111</v>
      </c>
      <c r="AK65" s="2">
        <f>-(($AU$8*$AU$9)*(($AU$16+0.5*SIN(2*$AU$16))-($AU$17+0.5*SIN(2*$AU$17))))</f>
        <v>-1.4678439491477844E-10</v>
      </c>
      <c r="AL65" s="2">
        <f>$AL$51+$AU$22</f>
        <v>12.123059469718676</v>
      </c>
      <c r="AM65" s="2">
        <f>$AK$65*$AL$65</f>
        <v>-1.7794759487785306E-09</v>
      </c>
      <c r="AN65" s="2">
        <f>-($AU$23-$AU$21*($AU$22)^2)+$AK$65*($AL$65)^2</f>
        <v>-2.157259048601089E-08</v>
      </c>
      <c r="AP65" s="33" t="s">
        <v>78</v>
      </c>
      <c r="AQ65" s="21">
        <f>($K$44-$K$43)/$AK$20</f>
        <v>0</v>
      </c>
      <c r="AR65" s="33" t="s">
        <v>79</v>
      </c>
      <c r="AS65" s="21">
        <f>($K$43+$AQ$65*$AL$20)</f>
        <v>1E-07</v>
      </c>
    </row>
    <row r="66" spans="11:22" ht="12.75">
      <c r="K66" s="80"/>
      <c r="L66" s="91"/>
      <c r="M66" s="92"/>
      <c r="N66" s="92"/>
      <c r="O66" s="92"/>
      <c r="P66" s="92"/>
      <c r="Q66" s="92"/>
      <c r="R66" s="92"/>
      <c r="S66" s="92"/>
      <c r="T66" s="92"/>
      <c r="U66" s="93"/>
      <c r="V66" s="81"/>
    </row>
    <row r="67" spans="11:22" ht="13.5" thickBot="1">
      <c r="K67" s="82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4"/>
    </row>
    <row r="70" spans="33:216" s="104" customFormat="1" ht="13.5" thickBot="1">
      <c r="AG70" s="105"/>
      <c r="HH70" s="106"/>
    </row>
    <row r="71" ht="13.5" thickTop="1"/>
    <row r="75" ht="12.75" customHeight="1"/>
    <row r="76" ht="14.25" customHeight="1"/>
    <row r="97" spans="22:24" ht="12.75">
      <c r="V97" s="29"/>
      <c r="W97" s="23"/>
      <c r="X97" s="23"/>
    </row>
    <row r="98" spans="22:52" ht="12.75">
      <c r="V98" s="44"/>
      <c r="W98" s="42"/>
      <c r="X98" s="42"/>
      <c r="AX98" s="18"/>
      <c r="AZ98" s="18"/>
    </row>
    <row r="99" ht="12.75">
      <c r="AX99" s="18"/>
    </row>
    <row r="167" ht="12.75">
      <c r="BH167" s="25"/>
    </row>
    <row r="168" spans="59:63" ht="12.75">
      <c r="BG168" s="33"/>
      <c r="BH168" s="18"/>
      <c r="BI168" s="3"/>
      <c r="BJ168" s="65"/>
      <c r="BK168" s="65"/>
    </row>
    <row r="169" spans="59:63" ht="12.75">
      <c r="BG169" s="33"/>
      <c r="BH169" s="18"/>
      <c r="BI169" s="3"/>
      <c r="BJ169" s="3"/>
      <c r="BK169" s="3"/>
    </row>
    <row r="170" spans="59:64" ht="12.75">
      <c r="BG170" s="21"/>
      <c r="BH170" s="18"/>
      <c r="BI170" s="3"/>
      <c r="BJ170" s="3"/>
      <c r="BK170" s="3"/>
      <c r="BL170" s="21"/>
    </row>
    <row r="171" spans="59:64" ht="12.75">
      <c r="BG171" s="21"/>
      <c r="BH171" s="18"/>
      <c r="BI171" s="3"/>
      <c r="BJ171" s="3"/>
      <c r="BK171" s="3"/>
      <c r="BL171" s="21"/>
    </row>
    <row r="172" spans="59:64" ht="12.75">
      <c r="BG172" s="21"/>
      <c r="BH172" s="18"/>
      <c r="BI172" s="3"/>
      <c r="BJ172" s="3"/>
      <c r="BK172" s="3"/>
      <c r="BL172" s="21"/>
    </row>
    <row r="173" spans="59:64" ht="12.75">
      <c r="BG173" s="33"/>
      <c r="BH173" s="18"/>
      <c r="BI173" s="3"/>
      <c r="BJ173" s="3"/>
      <c r="BK173" s="65"/>
      <c r="BL173" s="21"/>
    </row>
    <row r="174" spans="59:64" ht="12.75">
      <c r="BG174" s="33"/>
      <c r="BH174" s="18"/>
      <c r="BI174" s="3"/>
      <c r="BJ174" s="3"/>
      <c r="BK174" s="65"/>
      <c r="BL174" s="21"/>
    </row>
    <row r="175" spans="59:63" ht="12.75">
      <c r="BG175" s="21"/>
      <c r="BH175" s="18"/>
      <c r="BI175" s="3"/>
      <c r="BJ175" s="65"/>
      <c r="BK175" s="3"/>
    </row>
    <row r="176" spans="59:63" ht="12.75">
      <c r="BG176" s="21"/>
      <c r="BH176" s="18"/>
      <c r="BI176" s="3"/>
      <c r="BJ176" s="65"/>
      <c r="BK176" s="3"/>
    </row>
    <row r="177" spans="59:63" ht="12.75">
      <c r="BG177" s="21"/>
      <c r="BH177" s="18"/>
      <c r="BI177" s="3"/>
      <c r="BJ177" s="3"/>
      <c r="BK177" s="3"/>
    </row>
    <row r="178" spans="59:60" ht="12.75">
      <c r="BG178" s="21"/>
      <c r="BH178" s="18"/>
    </row>
    <row r="179" spans="59:60" ht="12.75">
      <c r="BG179" s="33"/>
      <c r="BH179" s="18"/>
    </row>
    <row r="180" spans="59:60" ht="12.75">
      <c r="BG180" s="33"/>
      <c r="BH180" s="18"/>
    </row>
    <row r="181" spans="59:63" ht="12.75">
      <c r="BG181" s="21"/>
      <c r="BH181" s="18"/>
      <c r="BK181" s="2"/>
    </row>
    <row r="182" spans="59:63" ht="12.75">
      <c r="BG182" s="21"/>
      <c r="BH182" s="18"/>
      <c r="BK182" s="2"/>
    </row>
    <row r="183" spans="59:60" ht="12.75">
      <c r="BG183" s="33"/>
      <c r="BH183" s="18"/>
    </row>
    <row r="184" spans="59:60" ht="12.75">
      <c r="BG184" s="33"/>
      <c r="BH184" s="18"/>
    </row>
    <row r="185" spans="59:60" ht="12.75">
      <c r="BG185" s="33"/>
      <c r="BH185" s="18"/>
    </row>
    <row r="186" spans="59:60" ht="12.75">
      <c r="BG186" s="33"/>
      <c r="BH186" s="18"/>
    </row>
    <row r="187" ht="12.75">
      <c r="BH187" s="18"/>
    </row>
    <row r="188" ht="12.75">
      <c r="BI188" s="2"/>
    </row>
    <row r="252" spans="43:44" ht="12.75">
      <c r="AQ252" s="29"/>
      <c r="AR252" s="24"/>
    </row>
    <row r="253" spans="43:44" ht="12.75">
      <c r="AQ253" s="29"/>
      <c r="AR253" s="24"/>
    </row>
    <row r="65536" ht="12.75">
      <c r="IV65536" t="s">
        <v>174</v>
      </c>
    </row>
  </sheetData>
  <sheetProtection password="FB6A"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TRIPLE LOG BEAM</dc:title>
  <dc:subject/>
  <dc:creator>Joe Bartok</dc:creator>
  <cp:keywords/>
  <dc:description>Engineering quantities for beam three logs deep, with allowance for scribes, ridges and purlins.</dc:description>
  <cp:lastModifiedBy>Joe</cp:lastModifiedBy>
  <cp:lastPrinted>2002-06-08T19:27:25Z</cp:lastPrinted>
  <dcterms:created xsi:type="dcterms:W3CDTF">2002-03-04T14:21:00Z</dcterms:created>
  <dcterms:modified xsi:type="dcterms:W3CDTF">2002-12-11T08:16:48Z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