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6420" activeTab="0"/>
  </bookViews>
  <sheets>
    <sheet name="LOG ANGLE GENERATOR" sheetId="1" r:id="rId1"/>
  </sheets>
  <definedNames>
    <definedName name="SIDE_a">#REF!</definedName>
  </definedNames>
  <calcPr fullCalcOnLoad="1"/>
</workbook>
</file>

<file path=xl/sharedStrings.xml><?xml version="1.0" encoding="utf-8"?>
<sst xmlns="http://schemas.openxmlformats.org/spreadsheetml/2006/main" count="421" uniqueCount="263">
  <si>
    <t>MAIN SIDE</t>
  </si>
  <si>
    <t>ADJACENT SIDE</t>
  </si>
  <si>
    <t>DD</t>
  </si>
  <si>
    <t>D</t>
  </si>
  <si>
    <t>SS</t>
  </si>
  <si>
    <t>S</t>
  </si>
  <si>
    <t>R1</t>
  </si>
  <si>
    <t>P2</t>
  </si>
  <si>
    <t>C5</t>
  </si>
  <si>
    <t>P2M</t>
  </si>
  <si>
    <t>P2A</t>
  </si>
  <si>
    <t>C5M</t>
  </si>
  <si>
    <t>C5A</t>
  </si>
  <si>
    <t>TO RAD</t>
  </si>
  <si>
    <t>TO DEG</t>
  </si>
  <si>
    <t>sin T</t>
  </si>
  <si>
    <t>cos T</t>
  </si>
  <si>
    <t>SS/S</t>
  </si>
  <si>
    <t>S/SS</t>
  </si>
  <si>
    <t>R4P</t>
  </si>
  <si>
    <t>R5B</t>
  </si>
  <si>
    <t>R5P</t>
  </si>
  <si>
    <t>A5B</t>
  </si>
  <si>
    <t>A5P</t>
  </si>
  <si>
    <t>P6</t>
  </si>
  <si>
    <t>R6P</t>
  </si>
  <si>
    <t>P1</t>
  </si>
  <si>
    <t>R2</t>
  </si>
  <si>
    <t>R3</t>
  </si>
  <si>
    <t>P3</t>
  </si>
  <si>
    <t>C1</t>
  </si>
  <si>
    <t>C2</t>
  </si>
  <si>
    <t>R7</t>
  </si>
  <si>
    <t>A8</t>
  </si>
  <si>
    <t>A9</t>
  </si>
  <si>
    <t>P4</t>
  </si>
  <si>
    <t>P5</t>
  </si>
  <si>
    <t>P4BV</t>
  </si>
  <si>
    <t>P5BV</t>
  </si>
  <si>
    <t>A7</t>
  </si>
  <si>
    <t>Q1</t>
  </si>
  <si>
    <t>Q2</t>
  </si>
  <si>
    <t>VP</t>
  </si>
  <si>
    <t>VC</t>
  </si>
  <si>
    <t>R7BV</t>
  </si>
  <si>
    <t>R6PBV</t>
  </si>
  <si>
    <t>TAN A5B</t>
  </si>
  <si>
    <t>TAN A5P</t>
  </si>
  <si>
    <t>SIN R4B</t>
  </si>
  <si>
    <t>SIN R4P</t>
  </si>
  <si>
    <t>COS R4PM</t>
  </si>
  <si>
    <t>COS R4PA</t>
  </si>
  <si>
    <t>MAIN</t>
  </si>
  <si>
    <t>ADJ</t>
  </si>
  <si>
    <t>TAN R4PM</t>
  </si>
  <si>
    <t>TAN R4PA</t>
  </si>
  <si>
    <t>SIN A5PM</t>
  </si>
  <si>
    <t>SIN A5PA</t>
  </si>
  <si>
    <t>COS A5PM</t>
  </si>
  <si>
    <t>COS A5PA</t>
  </si>
  <si>
    <t>SIN</t>
  </si>
  <si>
    <t>COS</t>
  </si>
  <si>
    <t>TAN</t>
  </si>
  <si>
    <t>R2M</t>
  </si>
  <si>
    <t>R2A</t>
  </si>
  <si>
    <t>R3M</t>
  </si>
  <si>
    <t>R3A</t>
  </si>
  <si>
    <t>TAN C1M</t>
  </si>
  <si>
    <t>TAN C1A</t>
  </si>
  <si>
    <t>TAN P3M</t>
  </si>
  <si>
    <t>TAN P3A</t>
  </si>
  <si>
    <t>SIN C2M</t>
  </si>
  <si>
    <t>SIN C2A</t>
  </si>
  <si>
    <t>COS P1M</t>
  </si>
  <si>
    <t>COS P1A</t>
  </si>
  <si>
    <t>SIN R7M</t>
  </si>
  <si>
    <t>SIN R7A</t>
  </si>
  <si>
    <t>COS R7M</t>
  </si>
  <si>
    <t>COS R7A</t>
  </si>
  <si>
    <t>TAN C2M</t>
  </si>
  <si>
    <t>TAN C2A</t>
  </si>
  <si>
    <t>complement</t>
  </si>
  <si>
    <t>(R6B)</t>
  </si>
  <si>
    <t>TFA  CALCULATIONS</t>
  </si>
  <si>
    <t>ADJACENT</t>
  </si>
  <si>
    <t>sin</t>
  </si>
  <si>
    <t>cos</t>
  </si>
  <si>
    <t>tan</t>
  </si>
  <si>
    <t>calculations :</t>
  </si>
  <si>
    <t>C5a</t>
  </si>
  <si>
    <t>C5m</t>
  </si>
  <si>
    <t>"Joseph Bartok, August 2002"</t>
  </si>
  <si>
    <t>ARCOS FORMS of PRIMARY KERNEL ANGLES :</t>
  </si>
  <si>
    <t>P2B</t>
  </si>
  <si>
    <t>tanSS/tanS+cosT</t>
  </si>
  <si>
    <t>tanS/tanSS+cosT</t>
  </si>
  <si>
    <t>2*tanA*cosT/tanB</t>
  </si>
  <si>
    <t>(tanA/tanB)^2</t>
  </si>
  <si>
    <t>(tanB/tanA)^2</t>
  </si>
  <si>
    <t>2*tanB*cosT/tanA</t>
  </si>
  <si>
    <t>Main Denominator</t>
  </si>
  <si>
    <t>Adj. Denominator</t>
  </si>
  <si>
    <t>rad</t>
  </si>
  <si>
    <t>Trig Functions :</t>
  </si>
  <si>
    <t>P2Bm</t>
  </si>
  <si>
    <t>P2Ba</t>
  </si>
  <si>
    <t>R1m</t>
  </si>
  <si>
    <t>R1a</t>
  </si>
  <si>
    <t>R4B</t>
  </si>
  <si>
    <t>DDB</t>
  </si>
  <si>
    <t>90±C5</t>
  </si>
  <si>
    <t>90±A5B</t>
  </si>
  <si>
    <t>DB</t>
  </si>
  <si>
    <t>A5Ba</t>
  </si>
  <si>
    <t>A5Bm</t>
  </si>
  <si>
    <t>R5Ba</t>
  </si>
  <si>
    <t>R4Bm</t>
  </si>
  <si>
    <t>R4Ba</t>
  </si>
  <si>
    <t>R5Bm</t>
  </si>
  <si>
    <t>Dec.</t>
  </si>
  <si>
    <t>16ths</t>
  </si>
  <si>
    <t>DEGREES</t>
  </si>
  <si>
    <t>known to date</t>
  </si>
  <si>
    <t>EQUIVALENT DESIGNATIONS:</t>
  </si>
  <si>
    <t>Q3</t>
  </si>
  <si>
    <t>Q4</t>
  </si>
  <si>
    <t>Consult appropriate material regarding</t>
  </si>
  <si>
    <t>correct procedure for entering values.</t>
  </si>
  <si>
    <t>90-R1</t>
  </si>
  <si>
    <t>90-R4B</t>
  </si>
  <si>
    <t>90-R4P</t>
  </si>
  <si>
    <t>90-R5B</t>
  </si>
  <si>
    <t>90-R5P</t>
  </si>
  <si>
    <t>90-A5B</t>
  </si>
  <si>
    <t>90-A5P</t>
  </si>
  <si>
    <t>90-P6</t>
  </si>
  <si>
    <t>90-(R6B)</t>
  </si>
  <si>
    <t>90-R6P</t>
  </si>
  <si>
    <t>90-P1</t>
  </si>
  <si>
    <t>90-R2</t>
  </si>
  <si>
    <t>90-R3</t>
  </si>
  <si>
    <t>90-P3</t>
  </si>
  <si>
    <t>90-C1</t>
  </si>
  <si>
    <t>90-C2</t>
  </si>
  <si>
    <t>90-R7</t>
  </si>
  <si>
    <t>90-A8</t>
  </si>
  <si>
    <t>90-P4</t>
  </si>
  <si>
    <t>90-P4BV</t>
  </si>
  <si>
    <t>90-Q1</t>
  </si>
  <si>
    <t>90-Q2</t>
  </si>
  <si>
    <t>90-Q3</t>
  </si>
  <si>
    <t>90-Q4</t>
  </si>
  <si>
    <t>90-VP</t>
  </si>
  <si>
    <t>90-VC</t>
  </si>
  <si>
    <t>90-R7BV</t>
  </si>
  <si>
    <t>90-R6PBV</t>
  </si>
  <si>
    <t>NORMALLY = 12</t>
  </si>
  <si>
    <t>ENTER :</t>
  </si>
  <si>
    <t>N</t>
  </si>
  <si>
    <r>
      <t xml:space="preserve">with </t>
    </r>
    <r>
      <rPr>
        <b/>
        <sz val="10"/>
        <color indexed="10"/>
        <rFont val="Arial"/>
        <family val="2"/>
      </rPr>
      <t>3-D MODELS</t>
    </r>
    <r>
      <rPr>
        <sz val="10"/>
        <color indexed="10"/>
        <rFont val="Arial"/>
        <family val="2"/>
      </rPr>
      <t xml:space="preserve"> </t>
    </r>
  </si>
  <si>
    <r>
      <t xml:space="preserve">and / or </t>
    </r>
    <r>
      <rPr>
        <b/>
        <sz val="10"/>
        <color indexed="10"/>
        <rFont val="Arial"/>
        <family val="2"/>
      </rPr>
      <t>PROJECTIONS</t>
    </r>
  </si>
  <si>
    <t>Default = MAIN SIDE</t>
  </si>
  <si>
    <t>Default = Normal values</t>
  </si>
  <si>
    <t>Always support CALCULATIONS</t>
  </si>
  <si>
    <t>P2P</t>
  </si>
  <si>
    <t>REVIEW THIS !!!</t>
  </si>
  <si>
    <r>
      <t xml:space="preserve">              NOTES </t>
    </r>
    <r>
      <rPr>
        <sz val="14"/>
        <color indexed="10"/>
        <rFont val="Times New Roman"/>
        <family val="1"/>
      </rPr>
      <t>and</t>
    </r>
    <r>
      <rPr>
        <b/>
        <sz val="14"/>
        <color indexed="10"/>
        <rFont val="Times New Roman"/>
        <family val="1"/>
      </rPr>
      <t xml:space="preserve"> INSTRUCTIONS:</t>
    </r>
  </si>
  <si>
    <t>Default = Rise / Run</t>
  </si>
  <si>
    <t>Default = Standard joinery values</t>
  </si>
  <si>
    <t>M</t>
  </si>
  <si>
    <t>MAIN PITCH = 9 / 12, ADJACENT PITCH = 7.25 / 12</t>
  </si>
  <si>
    <t>BEAMS :</t>
  </si>
  <si>
    <t>GAZEBO : 135 DEGREE DECK ANGLE</t>
  </si>
  <si>
    <r>
      <t xml:space="preserve">Backing angles ( </t>
    </r>
    <r>
      <rPr>
        <b/>
        <sz val="12"/>
        <rFont val="Times New Roman"/>
        <family val="1"/>
      </rPr>
      <t>C5</t>
    </r>
    <r>
      <rPr>
        <sz val="12"/>
        <rFont val="Times New Roman"/>
        <family val="1"/>
      </rPr>
      <t xml:space="preserve"> ) = 12.25568 Degrees</t>
    </r>
  </si>
  <si>
    <t>APPLICATIONS :</t>
  </si>
  <si>
    <r>
      <t xml:space="preserve">UNEQUAL PITCHES </t>
    </r>
    <r>
      <rPr>
        <sz val="12"/>
        <rFont val="Times New Roman"/>
        <family val="1"/>
      </rPr>
      <t>at</t>
    </r>
    <r>
      <rPr>
        <b/>
        <sz val="12"/>
        <rFont val="Times New Roman"/>
        <family val="1"/>
      </rPr>
      <t xml:space="preserve"> 90 DEGREE DECK ANGLE :</t>
    </r>
  </si>
  <si>
    <r>
      <t xml:space="preserve">Two </t>
    </r>
    <r>
      <rPr>
        <b/>
        <sz val="12"/>
        <rFont val="Times New Roman"/>
        <family val="1"/>
      </rPr>
      <t>BEAMS</t>
    </r>
    <r>
      <rPr>
        <sz val="12"/>
        <rFont val="Times New Roman"/>
        <family val="1"/>
      </rPr>
      <t xml:space="preserve"> ( Lower left ) meet</t>
    </r>
  </si>
  <si>
    <r>
      <t>MAIN PITCH =</t>
    </r>
    <r>
      <rPr>
        <sz val="12"/>
        <rFont val="Times New Roman"/>
        <family val="1"/>
      </rPr>
      <t xml:space="preserve"> 8 / 12</t>
    </r>
  </si>
  <si>
    <r>
      <t xml:space="preserve">DECK ANGLE = </t>
    </r>
    <r>
      <rPr>
        <sz val="12"/>
        <rFont val="Times New Roman"/>
        <family val="1"/>
      </rPr>
      <t>135 Degrees</t>
    </r>
  </si>
  <si>
    <r>
      <t xml:space="preserve">Sum of </t>
    </r>
    <r>
      <rPr>
        <b/>
        <sz val="12"/>
        <rFont val="Times New Roman"/>
        <family val="1"/>
      </rPr>
      <t>C5</t>
    </r>
    <r>
      <rPr>
        <sz val="12"/>
        <rFont val="Times New Roman"/>
        <family val="1"/>
      </rPr>
      <t xml:space="preserve"> : 29.01714 Degrees</t>
    </r>
  </si>
  <si>
    <r>
      <t xml:space="preserve">Sum of </t>
    </r>
    <r>
      <rPr>
        <b/>
        <sz val="12"/>
        <rFont val="Times New Roman"/>
        <family val="1"/>
      </rPr>
      <t>C5</t>
    </r>
    <r>
      <rPr>
        <sz val="12"/>
        <rFont val="Times New Roman"/>
        <family val="1"/>
      </rPr>
      <t xml:space="preserve"> : 33.69007 Degrees</t>
    </r>
  </si>
  <si>
    <r>
      <t xml:space="preserve">Top view : </t>
    </r>
    <r>
      <rPr>
        <b/>
        <sz val="12"/>
        <rFont val="Times New Roman"/>
        <family val="1"/>
      </rPr>
      <t>MATCHING RIDGES</t>
    </r>
  </si>
  <si>
    <r>
      <t xml:space="preserve">View of underside : </t>
    </r>
    <r>
      <rPr>
        <b/>
        <sz val="12"/>
        <rFont val="Times New Roman"/>
        <family val="1"/>
      </rPr>
      <t>MATCHING FACES</t>
    </r>
  </si>
  <si>
    <t>ANGULAR ENTRIES (Compound Joint Mode ) :</t>
  </si>
  <si>
    <r>
      <t>Rafter Side</t>
    </r>
    <r>
      <rPr>
        <sz val="12"/>
        <rFont val="Times New Roman"/>
        <family val="1"/>
      </rPr>
      <t xml:space="preserve"> (or Side 1) : 53.96011 Degrees</t>
    </r>
  </si>
  <si>
    <r>
      <t>Beam Side</t>
    </r>
    <r>
      <rPr>
        <sz val="12"/>
        <rFont val="Times New Roman"/>
        <family val="1"/>
      </rPr>
      <t xml:space="preserve"> (or Side 2) : 45 Degrees</t>
    </r>
  </si>
  <si>
    <r>
      <t>Rafter Side</t>
    </r>
    <r>
      <rPr>
        <sz val="12"/>
        <rFont val="Times New Roman"/>
        <family val="1"/>
      </rPr>
      <t xml:space="preserve"> (or Side 1) : 45 Degrees</t>
    </r>
  </si>
  <si>
    <r>
      <t xml:space="preserve">Cutting may be done using a jig built to Miters = </t>
    </r>
    <r>
      <rPr>
        <b/>
        <sz val="12"/>
        <rFont val="Times New Roman"/>
        <family val="1"/>
      </rPr>
      <t xml:space="preserve">R4P </t>
    </r>
    <r>
      <rPr>
        <sz val="12"/>
        <rFont val="Times New Roman"/>
        <family val="1"/>
      </rPr>
      <t>and Blade Angles =</t>
    </r>
    <r>
      <rPr>
        <b/>
        <sz val="12"/>
        <rFont val="Times New Roman"/>
        <family val="1"/>
      </rPr>
      <t xml:space="preserve"> A5P</t>
    </r>
  </si>
  <si>
    <r>
      <t xml:space="preserve">( 90 - </t>
    </r>
    <r>
      <rPr>
        <b/>
        <sz val="12"/>
        <rFont val="Times New Roman"/>
        <family val="1"/>
      </rPr>
      <t>P2</t>
    </r>
    <r>
      <rPr>
        <sz val="12"/>
        <rFont val="Times New Roman"/>
        <family val="1"/>
      </rPr>
      <t xml:space="preserve"> ) = 70.98367 Degrees</t>
    </r>
  </si>
  <si>
    <t>Angles at sheathing meets Eaves :</t>
  </si>
  <si>
    <r>
      <t xml:space="preserve">   ENTER : </t>
    </r>
    <r>
      <rPr>
        <b/>
        <sz val="12"/>
        <rFont val="Times New Roman"/>
        <family val="1"/>
      </rPr>
      <t>MAIN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PITCH</t>
    </r>
    <r>
      <rPr>
        <sz val="12"/>
        <rFont val="Times New Roman"/>
        <family val="1"/>
      </rPr>
      <t xml:space="preserve"> , </t>
    </r>
    <r>
      <rPr>
        <b/>
        <sz val="12"/>
        <rFont val="Times New Roman"/>
        <family val="1"/>
      </rPr>
      <t>ADJACENT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PITCH</t>
    </r>
    <r>
      <rPr>
        <sz val="12"/>
        <rFont val="Times New Roman"/>
        <family val="1"/>
      </rPr>
      <t xml:space="preserve"> , </t>
    </r>
    <r>
      <rPr>
        <b/>
        <sz val="12"/>
        <rFont val="Times New Roman"/>
        <family val="1"/>
      </rPr>
      <t>TOTAL DECK ANGLE</t>
    </r>
  </si>
  <si>
    <r>
      <t xml:space="preserve">   or ENTER : </t>
    </r>
    <r>
      <rPr>
        <b/>
        <sz val="12"/>
        <rFont val="Times New Roman"/>
        <family val="1"/>
      </rPr>
      <t>RISE</t>
    </r>
    <r>
      <rPr>
        <sz val="12"/>
        <rFont val="Times New Roman"/>
        <family val="1"/>
      </rPr>
      <t xml:space="preserve"> : " = TAN(RADIANS(</t>
    </r>
    <r>
      <rPr>
        <b/>
        <sz val="12"/>
        <rFont val="Times New Roman"/>
        <family val="1"/>
      </rPr>
      <t>ANGLE</t>
    </r>
    <r>
      <rPr>
        <sz val="12"/>
        <rFont val="Times New Roman"/>
        <family val="1"/>
      </rPr>
      <t xml:space="preserve">)) " , </t>
    </r>
    <r>
      <rPr>
        <b/>
        <sz val="12"/>
        <rFont val="Times New Roman"/>
        <family val="1"/>
      </rPr>
      <t>RUN</t>
    </r>
    <r>
      <rPr>
        <sz val="12"/>
        <rFont val="Times New Roman"/>
        <family val="1"/>
      </rPr>
      <t xml:space="preserve"> =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in Rise / Run mode.</t>
    </r>
  </si>
  <si>
    <r>
      <t xml:space="preserve">   RETURNS : </t>
    </r>
    <r>
      <rPr>
        <b/>
        <sz val="12"/>
        <rFont val="Times New Roman"/>
        <family val="1"/>
      </rPr>
      <t>NAME</t>
    </r>
    <r>
      <rPr>
        <sz val="12"/>
        <rFont val="Times New Roman"/>
        <family val="1"/>
      </rPr>
      <t xml:space="preserve"> , </t>
    </r>
    <r>
      <rPr>
        <b/>
        <sz val="12"/>
        <rFont val="Times New Roman"/>
        <family val="1"/>
      </rPr>
      <t>ANGLE</t>
    </r>
    <r>
      <rPr>
        <sz val="12"/>
        <rFont val="Times New Roman"/>
        <family val="1"/>
      </rPr>
      <t xml:space="preserve"> , </t>
    </r>
    <r>
      <rPr>
        <b/>
        <sz val="12"/>
        <rFont val="Times New Roman"/>
        <family val="1"/>
      </rPr>
      <t>OVER</t>
    </r>
    <r>
      <rPr>
        <sz val="12"/>
        <rFont val="Times New Roman"/>
        <family val="1"/>
      </rPr>
      <t xml:space="preserve"> / </t>
    </r>
    <r>
      <rPr>
        <b/>
        <sz val="12"/>
        <rFont val="Times New Roman"/>
        <family val="1"/>
      </rPr>
      <t>X</t>
    </r>
  </si>
  <si>
    <r>
      <t xml:space="preserve">  OVER</t>
    </r>
    <r>
      <rPr>
        <sz val="12"/>
        <rFont val="Times New Roman"/>
        <family val="1"/>
      </rPr>
      <t xml:space="preserve"> / </t>
    </r>
    <r>
      <rPr>
        <b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values are displayed to the nearest </t>
    </r>
    <r>
      <rPr>
        <b/>
        <sz val="12"/>
        <rFont val="Times New Roman"/>
        <family val="1"/>
      </rPr>
      <t>16TH</t>
    </r>
    <r>
      <rPr>
        <sz val="12"/>
        <rFont val="Times New Roman"/>
        <family val="1"/>
      </rPr>
      <t>.</t>
    </r>
  </si>
  <si>
    <t xml:space="preserve">   Values are organised in "natural" groups of common anticipated use</t>
  </si>
  <si>
    <r>
      <t xml:space="preserve">   and may be displayed as </t>
    </r>
    <r>
      <rPr>
        <b/>
        <sz val="12"/>
        <rFont val="Times New Roman"/>
        <family val="1"/>
      </rPr>
      <t>MAIN</t>
    </r>
    <r>
      <rPr>
        <sz val="12"/>
        <rFont val="Times New Roman"/>
        <family val="1"/>
      </rPr>
      <t xml:space="preserve"> , </t>
    </r>
    <r>
      <rPr>
        <b/>
        <sz val="12"/>
        <rFont val="Times New Roman"/>
        <family val="1"/>
      </rPr>
      <t>ADJACENT</t>
    </r>
    <r>
      <rPr>
        <sz val="12"/>
        <rFont val="Times New Roman"/>
        <family val="1"/>
      </rPr>
      <t xml:space="preserve"> , or </t>
    </r>
    <r>
      <rPr>
        <b/>
        <sz val="12"/>
        <rFont val="Times New Roman"/>
        <family val="1"/>
      </rPr>
      <t>COMPLEMENTARY</t>
    </r>
    <r>
      <rPr>
        <sz val="12"/>
        <rFont val="Times New Roman"/>
        <family val="1"/>
      </rPr>
      <t xml:space="preserve"> values.</t>
    </r>
  </si>
  <si>
    <r>
      <t xml:space="preserve">  COMPOUND JOINT</t>
    </r>
    <r>
      <rPr>
        <sz val="12"/>
        <rFont val="Times New Roman"/>
        <family val="1"/>
      </rPr>
      <t xml:space="preserve"> ?  = </t>
    </r>
    <r>
      <rPr>
        <b/>
        <sz val="12"/>
        <rFont val="Times New Roman"/>
        <family val="1"/>
      </rPr>
      <t>Y</t>
    </r>
  </si>
  <si>
    <r>
      <t xml:space="preserve">   The worksheet will calculate basic </t>
    </r>
    <r>
      <rPr>
        <b/>
        <sz val="12"/>
        <rFont val="Times New Roman"/>
        <family val="1"/>
      </rPr>
      <t>CONVERGENT</t>
    </r>
    <r>
      <rPr>
        <sz val="12"/>
        <rFont val="Times New Roman"/>
        <family val="1"/>
      </rPr>
      <t xml:space="preserve"> or </t>
    </r>
    <r>
      <rPr>
        <b/>
        <sz val="12"/>
        <rFont val="Times New Roman"/>
        <family val="1"/>
      </rPr>
      <t>COMPOUND JOINT</t>
    </r>
    <r>
      <rPr>
        <sz val="12"/>
        <rFont val="Times New Roman"/>
        <family val="1"/>
      </rPr>
      <t xml:space="preserve"> values. </t>
    </r>
  </si>
  <si>
    <r>
      <t xml:space="preserve">   Appropriate </t>
    </r>
    <r>
      <rPr>
        <b/>
        <sz val="12"/>
        <rFont val="Times New Roman"/>
        <family val="1"/>
      </rPr>
      <t>ENTRY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DISPLAY</t>
    </r>
    <r>
      <rPr>
        <sz val="12"/>
        <rFont val="Times New Roman"/>
        <family val="1"/>
      </rPr>
      <t xml:space="preserve"> prompts will change automatically.</t>
    </r>
  </si>
  <si>
    <r>
      <t xml:space="preserve">   For a complete list of values, re-enter the </t>
    </r>
    <r>
      <rPr>
        <b/>
        <sz val="12"/>
        <rFont val="Times New Roman"/>
        <family val="1"/>
      </rPr>
      <t>PITCH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PITCH</t>
    </r>
    <r>
      <rPr>
        <sz val="12"/>
        <rFont val="Times New Roman"/>
        <family val="1"/>
      </rPr>
      <t xml:space="preserve">, and </t>
    </r>
    <r>
      <rPr>
        <b/>
        <sz val="12"/>
        <rFont val="Times New Roman"/>
        <family val="1"/>
      </rPr>
      <t>TOTAL DECK ANGLE</t>
    </r>
  </si>
  <si>
    <r>
      <t xml:space="preserve">   thus generated, with </t>
    </r>
    <r>
      <rPr>
        <b/>
        <sz val="12"/>
        <rFont val="Times New Roman"/>
        <family val="1"/>
      </rPr>
      <t>COMPOUND JOINT</t>
    </r>
    <r>
      <rPr>
        <sz val="12"/>
        <rFont val="Times New Roman"/>
        <family val="1"/>
      </rPr>
      <t xml:space="preserve"> ?  = 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.</t>
    </r>
  </si>
  <si>
    <r>
      <t xml:space="preserve">   If </t>
    </r>
    <r>
      <rPr>
        <b/>
        <sz val="12"/>
        <rFont val="Times New Roman"/>
        <family val="1"/>
      </rPr>
      <t>DD or D EXCEEDS 90 DEGREES</t>
    </r>
    <r>
      <rPr>
        <sz val="12"/>
        <rFont val="Times New Roman"/>
        <family val="1"/>
      </rPr>
      <t xml:space="preserve"> :</t>
    </r>
  </si>
  <si>
    <r>
      <t xml:space="preserve">   The returns most affected will be prompted : " </t>
    </r>
    <r>
      <rPr>
        <b/>
        <sz val="12"/>
        <rFont val="Times New Roman"/>
        <family val="1"/>
      </rPr>
      <t>CAUTION</t>
    </r>
    <r>
      <rPr>
        <sz val="12"/>
        <rFont val="Times New Roman"/>
        <family val="1"/>
      </rPr>
      <t xml:space="preserve"> ".</t>
    </r>
  </si>
  <si>
    <t xml:space="preserve">   An auxilliary display of positive angular values</t>
  </si>
  <si>
    <t xml:space="preserve">   for the returns thus prompted will automatically appear.</t>
  </si>
  <si>
    <t xml:space="preserve">   The balance of the angles are generally unaffected (though some are negative) ;</t>
  </si>
  <si>
    <r>
      <t xml:space="preserve">  ALL</t>
    </r>
    <r>
      <rPr>
        <sz val="12"/>
        <rFont val="Times New Roman"/>
        <family val="1"/>
      </rPr>
      <t xml:space="preserve"> values should be double-checked by a </t>
    </r>
    <r>
      <rPr>
        <b/>
        <sz val="12"/>
        <rFont val="Times New Roman"/>
        <family val="1"/>
      </rPr>
      <t>PROJECTION</t>
    </r>
    <r>
      <rPr>
        <sz val="12"/>
        <rFont val="Times New Roman"/>
        <family val="1"/>
      </rPr>
      <t xml:space="preserve"> or</t>
    </r>
    <r>
      <rPr>
        <b/>
        <sz val="12"/>
        <rFont val="Times New Roman"/>
        <family val="1"/>
      </rPr>
      <t xml:space="preserve"> 3-D MODEL</t>
    </r>
    <r>
      <rPr>
        <sz val="12"/>
        <rFont val="Times New Roman"/>
        <family val="1"/>
      </rPr>
      <t>,</t>
    </r>
  </si>
  <si>
    <t xml:space="preserve">   and tested using vector analysis.</t>
  </si>
  <si>
    <r>
      <t xml:space="preserve">   The selection of </t>
    </r>
    <r>
      <rPr>
        <b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or</t>
    </r>
    <r>
      <rPr>
        <b/>
        <sz val="12"/>
        <rFont val="Times New Roman"/>
        <family val="1"/>
      </rPr>
      <t xml:space="preserve"> P</t>
    </r>
    <r>
      <rPr>
        <sz val="12"/>
        <rFont val="Times New Roman"/>
        <family val="1"/>
      </rPr>
      <t xml:space="preserve"> angles under these conditions will depend on</t>
    </r>
  </si>
  <si>
    <t xml:space="preserve">   the type of joint made at the Hip / Valley eave or ridge.</t>
  </si>
  <si>
    <t>INITIAL ENTRIES ( Rise / Run Mode ) :</t>
  </si>
  <si>
    <t>COMPOUND JOINT :</t>
  </si>
  <si>
    <r>
      <t xml:space="preserve">RAFTERS </t>
    </r>
    <r>
      <rPr>
        <sz val="12"/>
        <rFont val="Times New Roman"/>
        <family val="1"/>
      </rPr>
      <t>: ( Log not erected, &amp; right side )</t>
    </r>
  </si>
  <si>
    <r>
      <t xml:space="preserve">ADJACENT PITCH = </t>
    </r>
    <r>
      <rPr>
        <sz val="12"/>
        <rFont val="Times New Roman"/>
        <family val="1"/>
      </rPr>
      <t xml:space="preserve">11 </t>
    </r>
    <r>
      <rPr>
        <sz val="10"/>
        <rFont val="Times New Roman"/>
        <family val="1"/>
      </rPr>
      <t>5/16</t>
    </r>
    <r>
      <rPr>
        <sz val="12"/>
        <rFont val="Times New Roman"/>
        <family val="1"/>
      </rPr>
      <t xml:space="preserve">  OVER 12</t>
    </r>
  </si>
  <si>
    <r>
      <t xml:space="preserve">7 </t>
    </r>
    <r>
      <rPr>
        <sz val="10"/>
        <rFont val="Times New Roman"/>
        <family val="1"/>
      </rPr>
      <t xml:space="preserve">3/8  </t>
    </r>
    <r>
      <rPr>
        <sz val="12"/>
        <rFont val="Times New Roman"/>
        <family val="1"/>
      </rPr>
      <t>OVER 12 Hip Rafters meet Kingpost</t>
    </r>
  </si>
  <si>
    <t>SIPS ( not shown ) conform to Purlin related angles</t>
  </si>
  <si>
    <t>8 / 12 COMMON PITCHES</t>
  </si>
  <si>
    <r>
      <t xml:space="preserve">two </t>
    </r>
    <r>
      <rPr>
        <b/>
        <sz val="12"/>
        <rFont val="Times New Roman"/>
        <family val="1"/>
      </rPr>
      <t>8 / 12 HIP RAFTERS</t>
    </r>
    <r>
      <rPr>
        <sz val="12"/>
        <rFont val="Times New Roman"/>
        <family val="1"/>
      </rPr>
      <t xml:space="preserve"> ( Upper right )</t>
    </r>
  </si>
  <si>
    <r>
      <t xml:space="preserve">   ENTER : </t>
    </r>
    <r>
      <rPr>
        <b/>
        <sz val="12"/>
        <rFont val="Times New Roman"/>
        <family val="1"/>
      </rPr>
      <t>ANGLE</t>
    </r>
    <r>
      <rPr>
        <sz val="12"/>
        <rFont val="Times New Roman"/>
        <family val="1"/>
      </rPr>
      <t xml:space="preserve"> , </t>
    </r>
    <r>
      <rPr>
        <b/>
        <sz val="12"/>
        <rFont val="Times New Roman"/>
        <family val="1"/>
      </rPr>
      <t>RUN</t>
    </r>
    <r>
      <rPr>
        <sz val="12"/>
        <rFont val="Times New Roman"/>
        <family val="1"/>
      </rPr>
      <t xml:space="preserve"> is automatically set =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,</t>
    </r>
  </si>
  <si>
    <r>
      <t>JOINTS</t>
    </r>
    <r>
      <rPr>
        <sz val="12"/>
        <rFont val="Times New Roman"/>
        <family val="1"/>
      </rPr>
      <t xml:space="preserve"> : ( </t>
    </r>
    <r>
      <rPr>
        <b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) Purlin meets Valley</t>
    </r>
  </si>
  <si>
    <r>
      <t xml:space="preserve">( </t>
    </r>
    <r>
      <rPr>
        <b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) Valley foot meets Adjacent Common Rafter</t>
    </r>
  </si>
  <si>
    <r>
      <t xml:space="preserve">( 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) Valleys, Ridges and Main Common Rafter meet at Post</t>
    </r>
  </si>
  <si>
    <t>ANGULAR ENTRY MODE ? Y / N</t>
  </si>
  <si>
    <r>
      <t xml:space="preserve">MAIN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ADJACENT SIDE ?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</t>
    </r>
  </si>
  <si>
    <r>
      <t>Display</t>
    </r>
    <r>
      <rPr>
        <b/>
        <sz val="10"/>
        <rFont val="Arial"/>
        <family val="2"/>
      </rPr>
      <t xml:space="preserve"> COMPLEMENT ?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</t>
    </r>
  </si>
  <si>
    <t>LOG ANGLE GENERATOR</t>
  </si>
  <si>
    <r>
      <t>SET RISE VALUES :</t>
    </r>
    <r>
      <rPr>
        <sz val="10"/>
        <rFont val="Arial"/>
        <family val="2"/>
      </rPr>
      <t xml:space="preserve"> ENTER </t>
    </r>
    <r>
      <rPr>
        <b/>
        <sz val="10"/>
        <rFont val="Arial"/>
        <family val="2"/>
      </rPr>
      <t>RUN</t>
    </r>
    <r>
      <rPr>
        <sz val="10"/>
        <rFont val="Arial"/>
        <family val="2"/>
      </rPr>
      <t xml:space="preserve">   </t>
    </r>
  </si>
  <si>
    <t>INTERNET RESOURCES :</t>
  </si>
  <si>
    <t>Background material</t>
  </si>
  <si>
    <t>Drawings describing and locating angles</t>
  </si>
  <si>
    <t>Hawkindale angle worksheet</t>
  </si>
  <si>
    <t>PDF or .zip files</t>
  </si>
  <si>
    <t>Hip / Valley joinery books</t>
  </si>
  <si>
    <t>Martindale</t>
  </si>
  <si>
    <t>Mackay</t>
  </si>
  <si>
    <r>
      <t xml:space="preserve">   To enter</t>
    </r>
    <r>
      <rPr>
        <b/>
        <sz val="12"/>
        <rFont val="Times New Roman"/>
        <family val="1"/>
      </rPr>
      <t xml:space="preserve"> ANGULAR VALUES</t>
    </r>
    <r>
      <rPr>
        <sz val="12"/>
        <rFont val="Times New Roman"/>
        <family val="1"/>
      </rPr>
      <t xml:space="preserve"> : SET </t>
    </r>
    <r>
      <rPr>
        <b/>
        <sz val="12"/>
        <rFont val="Times New Roman"/>
        <family val="1"/>
      </rPr>
      <t>ANGULAR ENTRY MODE ?</t>
    </r>
    <r>
      <rPr>
        <sz val="12"/>
        <rFont val="Times New Roman"/>
        <family val="1"/>
      </rPr>
      <t xml:space="preserve"> = </t>
    </r>
    <r>
      <rPr>
        <b/>
        <sz val="12"/>
        <rFont val="Times New Roman"/>
        <family val="1"/>
      </rPr>
      <t>Y</t>
    </r>
  </si>
  <si>
    <t xml:space="preserve">  Worksheet return values reference Hawkindale angles where known.</t>
  </si>
  <si>
    <t xml:space="preserve">  If no value is known, a name is assigned relating the returned value</t>
  </si>
  <si>
    <t xml:space="preserve">  to the nearest affiliated Hawkindale.</t>
  </si>
  <si>
    <t>McKibben - Gray</t>
  </si>
  <si>
    <t>http://www.steel-link.com</t>
  </si>
  <si>
    <t>http://www.tfguild.org/</t>
  </si>
  <si>
    <t>JOSEPH BARTOK</t>
  </si>
  <si>
    <t>NOW</t>
  </si>
  <si>
    <t>NOW+</t>
  </si>
  <si>
    <t>ENTER TIME</t>
  </si>
  <si>
    <t>1 MIN =</t>
  </si>
  <si>
    <t>1 HOUR =</t>
  </si>
  <si>
    <t>1 DAY =</t>
  </si>
  <si>
    <t>SET RUNNING TIME :</t>
  </si>
  <si>
    <t>SET ZERO</t>
  </si>
  <si>
    <t>DIFFERENCE</t>
  </si>
  <si>
    <t>DIFF&gt;ZERO?</t>
  </si>
  <si>
    <t>ALL TRUE?</t>
  </si>
  <si>
    <r>
      <t xml:space="preserve">TIMBER FRAMING ANGLES </t>
    </r>
    <r>
      <rPr>
        <sz val="10"/>
        <color indexed="9"/>
        <rFont val="Arial"/>
        <family val="2"/>
      </rPr>
      <t>returns</t>
    </r>
  </si>
  <si>
    <r>
      <t>PV</t>
    </r>
    <r>
      <rPr>
        <sz val="10"/>
        <color indexed="9"/>
        <rFont val="Arial"/>
        <family val="2"/>
      </rPr>
      <t>=90-R3</t>
    </r>
  </si>
  <si>
    <r>
      <t xml:space="preserve">values for </t>
    </r>
    <r>
      <rPr>
        <b/>
        <sz val="10"/>
        <color indexed="9"/>
        <rFont val="Arial"/>
        <family val="2"/>
      </rPr>
      <t>CONVERGENT</t>
    </r>
    <r>
      <rPr>
        <sz val="10"/>
        <color indexed="9"/>
        <rFont val="Arial"/>
        <family val="2"/>
      </rPr>
      <t xml:space="preserve"> or </t>
    </r>
    <r>
      <rPr>
        <b/>
        <sz val="10"/>
        <color indexed="9"/>
        <rFont val="Arial"/>
        <family val="2"/>
      </rPr>
      <t>COMPOUND JOINTS</t>
    </r>
  </si>
  <si>
    <r>
      <t>CV</t>
    </r>
    <r>
      <rPr>
        <sz val="10"/>
        <color indexed="9"/>
        <rFont val="Arial"/>
        <family val="2"/>
      </rPr>
      <t>=R4B</t>
    </r>
  </si>
  <si>
    <r>
      <t xml:space="preserve">and </t>
    </r>
    <r>
      <rPr>
        <b/>
        <sz val="10"/>
        <color indexed="9"/>
        <rFont val="Arial"/>
        <family val="2"/>
      </rPr>
      <t>NON-RECTANGULAR</t>
    </r>
    <r>
      <rPr>
        <sz val="10"/>
        <color indexed="9"/>
        <rFont val="Arial"/>
        <family val="2"/>
      </rPr>
      <t xml:space="preserve"> or </t>
    </r>
    <r>
      <rPr>
        <b/>
        <sz val="10"/>
        <color indexed="9"/>
        <rFont val="Arial"/>
        <family val="2"/>
      </rPr>
      <t>SLOPE CUTS</t>
    </r>
    <r>
      <rPr>
        <sz val="10"/>
        <color indexed="9"/>
        <rFont val="Arial"/>
        <family val="2"/>
      </rPr>
      <t>.</t>
    </r>
  </si>
  <si>
    <r>
      <t>Q3</t>
    </r>
    <r>
      <rPr>
        <sz val="10"/>
        <color indexed="9"/>
        <rFont val="Arial"/>
        <family val="2"/>
      </rPr>
      <t>=R1+R2</t>
    </r>
  </si>
  <si>
    <r>
      <t>Q4</t>
    </r>
    <r>
      <rPr>
        <sz val="10"/>
        <color indexed="9"/>
        <rFont val="Arial"/>
        <family val="2"/>
      </rPr>
      <t>=R4P-R3</t>
    </r>
  </si>
  <si>
    <r>
      <t>R6B</t>
    </r>
    <r>
      <rPr>
        <sz val="10"/>
        <color indexed="9"/>
        <rFont val="Arial"/>
        <family val="2"/>
      </rPr>
      <t>: No practical application</t>
    </r>
  </si>
  <si>
    <t>Joe Bartok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</si>
</sst>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\ ??/16"/>
    <numFmt numFmtId="176" formatCode=";;;\l"/>
    <numFmt numFmtId="177" formatCode=";;;"/>
    <numFmt numFmtId="178" formatCode="#\ ??/32"/>
    <numFmt numFmtId="179" formatCode="0.00000_ ;[Red]\-0.00000\ "/>
    <numFmt numFmtId="180" formatCode="0.00000E+00"/>
    <numFmt numFmtId="181" formatCode="#\ ?/4"/>
    <numFmt numFmtId="182" formatCode="#\ ?/10"/>
    <numFmt numFmtId="183" formatCode="#\ ???/???"/>
    <numFmt numFmtId="184" formatCode="#\ ??/60"/>
    <numFmt numFmtId="185" formatCode="#\ ?/2"/>
    <numFmt numFmtId="186" formatCode="mmmm\ d\,\ yyyy"/>
  </numFmts>
  <fonts count="33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26"/>
      <name val="Times New Roman"/>
      <family val="1"/>
    </font>
    <font>
      <sz val="10"/>
      <color indexed="15"/>
      <name val="Arial"/>
      <family val="2"/>
    </font>
    <font>
      <b/>
      <u val="single"/>
      <sz val="12"/>
      <color indexed="12"/>
      <name val="Times New Roman"/>
      <family val="1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Fill="1" applyBorder="1" applyAlignment="1">
      <alignment horizontal="left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 applyProtection="1">
      <alignment/>
      <protection/>
    </xf>
    <xf numFmtId="0" fontId="10" fillId="2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4" borderId="0" xfId="0" applyFill="1" applyBorder="1" applyAlignment="1">
      <alignment/>
    </xf>
    <xf numFmtId="0" fontId="11" fillId="3" borderId="16" xfId="0" applyFont="1" applyFill="1" applyBorder="1" applyAlignment="1">
      <alignment/>
    </xf>
    <xf numFmtId="0" fontId="12" fillId="3" borderId="16" xfId="0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6" xfId="0" applyNumberFormat="1" applyBorder="1" applyAlignment="1">
      <alignment/>
    </xf>
    <xf numFmtId="0" fontId="0" fillId="2" borderId="11" xfId="0" applyFill="1" applyBorder="1" applyAlignment="1" applyProtection="1">
      <alignment/>
      <protection/>
    </xf>
    <xf numFmtId="0" fontId="0" fillId="2" borderId="18" xfId="0" applyFill="1" applyBorder="1" applyAlignment="1">
      <alignment/>
    </xf>
    <xf numFmtId="0" fontId="0" fillId="4" borderId="2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179" fontId="0" fillId="0" borderId="0" xfId="0" applyNumberFormat="1" applyFill="1" applyBorder="1" applyAlignment="1">
      <alignment/>
    </xf>
    <xf numFmtId="179" fontId="15" fillId="0" borderId="6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12" fillId="3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179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26" fillId="2" borderId="2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20" applyFont="1" applyBorder="1" applyAlignment="1" applyProtection="1">
      <alignment/>
      <protection locked="0"/>
    </xf>
    <xf numFmtId="0" fontId="16" fillId="2" borderId="0" xfId="0" applyFont="1" applyFill="1" applyBorder="1" applyAlignment="1">
      <alignment horizontal="left"/>
    </xf>
    <xf numFmtId="184" fontId="5" fillId="2" borderId="19" xfId="0" applyNumberFormat="1" applyFont="1" applyFill="1" applyBorder="1" applyAlignment="1">
      <alignment horizontal="center"/>
    </xf>
    <xf numFmtId="177" fontId="10" fillId="0" borderId="0" xfId="0" applyNumberFormat="1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175" fontId="10" fillId="0" borderId="0" xfId="0" applyNumberFormat="1" applyFont="1" applyBorder="1" applyAlignment="1">
      <alignment/>
    </xf>
    <xf numFmtId="0" fontId="10" fillId="5" borderId="0" xfId="0" applyFont="1" applyFill="1" applyBorder="1" applyAlignment="1" applyProtection="1">
      <alignment/>
      <protection/>
    </xf>
    <xf numFmtId="0" fontId="10" fillId="5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NumberFormat="1" applyFont="1" applyAlignment="1">
      <alignment/>
    </xf>
    <xf numFmtId="0" fontId="28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6" borderId="19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0" fontId="28" fillId="0" borderId="0" xfId="0" applyFont="1" applyFill="1" applyBorder="1" applyAlignment="1" applyProtection="1">
      <alignment horizontal="left"/>
      <protection/>
    </xf>
    <xf numFmtId="0" fontId="10" fillId="6" borderId="11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10" fillId="6" borderId="0" xfId="0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10" fillId="6" borderId="18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10" fillId="6" borderId="5" xfId="0" applyFont="1" applyFill="1" applyBorder="1" applyAlignment="1">
      <alignment/>
    </xf>
    <xf numFmtId="175" fontId="31" fillId="2" borderId="0" xfId="0" applyNumberFormat="1" applyFont="1" applyFill="1" applyBorder="1" applyAlignment="1" applyProtection="1">
      <alignment horizontal="right"/>
      <protection/>
    </xf>
    <xf numFmtId="0" fontId="31" fillId="2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31" fillId="2" borderId="0" xfId="0" applyNumberFormat="1" applyFont="1" applyFill="1" applyBorder="1" applyAlignment="1" applyProtection="1">
      <alignment/>
      <protection/>
    </xf>
    <xf numFmtId="0" fontId="10" fillId="6" borderId="22" xfId="0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0" fontId="3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28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9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6" borderId="23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/>
    </xf>
    <xf numFmtId="0" fontId="10" fillId="4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177" fontId="10" fillId="0" borderId="0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0" fontId="10" fillId="5" borderId="0" xfId="0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186" fontId="10" fillId="0" borderId="0" xfId="0" applyNumberFormat="1" applyFont="1" applyAlignment="1">
      <alignment shrinkToFit="1"/>
    </xf>
    <xf numFmtId="185" fontId="32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6600"/>
      </font>
      <border/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120</xdr:row>
      <xdr:rowOff>9525</xdr:rowOff>
    </xdr:from>
    <xdr:to>
      <xdr:col>13</xdr:col>
      <xdr:colOff>590550</xdr:colOff>
      <xdr:row>141</xdr:row>
      <xdr:rowOff>19050</xdr:rowOff>
    </xdr:to>
    <xdr:grpSp>
      <xdr:nvGrpSpPr>
        <xdr:cNvPr id="1" name="Group 232"/>
        <xdr:cNvGrpSpPr>
          <a:grpSpLocks/>
        </xdr:cNvGrpSpPr>
      </xdr:nvGrpSpPr>
      <xdr:grpSpPr>
        <a:xfrm>
          <a:off x="409575" y="21307425"/>
          <a:ext cx="9467850" cy="3409950"/>
          <a:chOff x="43" y="2233"/>
          <a:chExt cx="994" cy="358"/>
        </a:xfrm>
        <a:solidFill>
          <a:srgbClr val="FFFFFF"/>
        </a:solidFill>
      </xdr:grpSpPr>
      <xdr:grpSp>
        <xdr:nvGrpSpPr>
          <xdr:cNvPr id="2" name="Group 205"/>
          <xdr:cNvGrpSpPr>
            <a:grpSpLocks/>
          </xdr:cNvGrpSpPr>
        </xdr:nvGrpSpPr>
        <xdr:grpSpPr>
          <a:xfrm>
            <a:off x="43" y="2233"/>
            <a:ext cx="994" cy="340"/>
            <a:chOff x="44" y="2190"/>
            <a:chExt cx="994" cy="340"/>
          </a:xfrm>
          <a:solidFill>
            <a:srgbClr val="FFFFFF"/>
          </a:solidFill>
        </xdr:grpSpPr>
        <xdr:pic>
          <xdr:nvPicPr>
            <xdr:cNvPr id="3" name="Picture 196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5" y="2201"/>
              <a:ext cx="481" cy="32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19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45" y="2190"/>
              <a:ext cx="479" cy="33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Rectangle 201"/>
            <xdr:cNvSpPr>
              <a:spLocks/>
            </xdr:cNvSpPr>
          </xdr:nvSpPr>
          <xdr:spPr>
            <a:xfrm>
              <a:off x="44" y="2194"/>
              <a:ext cx="34" cy="33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202"/>
            <xdr:cNvSpPr>
              <a:spLocks/>
            </xdr:cNvSpPr>
          </xdr:nvSpPr>
          <xdr:spPr>
            <a:xfrm>
              <a:off x="1003" y="2194"/>
              <a:ext cx="34" cy="33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203"/>
            <xdr:cNvSpPr>
              <a:spLocks/>
            </xdr:cNvSpPr>
          </xdr:nvSpPr>
          <xdr:spPr>
            <a:xfrm>
              <a:off x="523" y="2194"/>
              <a:ext cx="45" cy="33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204"/>
            <xdr:cNvSpPr>
              <a:spLocks/>
            </xdr:cNvSpPr>
          </xdr:nvSpPr>
          <xdr:spPr>
            <a:xfrm>
              <a:off x="44" y="2502"/>
              <a:ext cx="994" cy="2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200"/>
            <xdr:cNvSpPr>
              <a:spLocks/>
            </xdr:cNvSpPr>
          </xdr:nvSpPr>
          <xdr:spPr>
            <a:xfrm>
              <a:off x="44" y="2194"/>
              <a:ext cx="994" cy="2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Rectangle 212"/>
          <xdr:cNvSpPr>
            <a:spLocks/>
          </xdr:cNvSpPr>
        </xdr:nvSpPr>
        <xdr:spPr>
          <a:xfrm>
            <a:off x="406" y="2265"/>
            <a:ext cx="170" cy="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
      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 8 / 12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  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   RAFTERS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1" name="Rectangle 213"/>
          <xdr:cNvSpPr>
            <a:spLocks/>
          </xdr:cNvSpPr>
        </xdr:nvSpPr>
        <xdr:spPr>
          <a:xfrm>
            <a:off x="158" y="2494"/>
            <a:ext cx="15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   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   BEAMS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2" name="Rectangle 214"/>
          <xdr:cNvSpPr>
            <a:spLocks/>
          </xdr:cNvSpPr>
        </xdr:nvSpPr>
        <xdr:spPr>
          <a:xfrm>
            <a:off x="836" y="2400"/>
            <a:ext cx="190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  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   8 / 12 RAFTER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3" name="Rectangle 215"/>
          <xdr:cNvSpPr>
            <a:spLocks/>
          </xdr:cNvSpPr>
        </xdr:nvSpPr>
        <xdr:spPr>
          <a:xfrm>
            <a:off x="643" y="2360"/>
            <a:ext cx="14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   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   BEAM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4" name="Rectangle 216"/>
          <xdr:cNvSpPr>
            <a:spLocks/>
          </xdr:cNvSpPr>
        </xdr:nvSpPr>
        <xdr:spPr>
          <a:xfrm>
            <a:off x="78" y="2536"/>
            <a:ext cx="491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PHOTOGRAPHS COURTESY OF JOHN DEVRIES LOG HOMES</a:t>
            </a:r>
          </a:p>
        </xdr:txBody>
      </xdr:sp>
    </xdr:grpSp>
    <xdr:clientData/>
  </xdr:twoCellAnchor>
  <xdr:twoCellAnchor>
    <xdr:from>
      <xdr:col>0</xdr:col>
      <xdr:colOff>485775</xdr:colOff>
      <xdr:row>89</xdr:row>
      <xdr:rowOff>28575</xdr:rowOff>
    </xdr:from>
    <xdr:to>
      <xdr:col>13</xdr:col>
      <xdr:colOff>314325</xdr:colOff>
      <xdr:row>110</xdr:row>
      <xdr:rowOff>123825</xdr:rowOff>
    </xdr:to>
    <xdr:grpSp>
      <xdr:nvGrpSpPr>
        <xdr:cNvPr id="15" name="Group 231"/>
        <xdr:cNvGrpSpPr>
          <a:grpSpLocks/>
        </xdr:cNvGrpSpPr>
      </xdr:nvGrpSpPr>
      <xdr:grpSpPr>
        <a:xfrm>
          <a:off x="485775" y="16002000"/>
          <a:ext cx="9115425" cy="3495675"/>
          <a:chOff x="51" y="1676"/>
          <a:chExt cx="957" cy="367"/>
        </a:xfrm>
        <a:solidFill>
          <a:srgbClr val="FFFFFF"/>
        </a:solidFill>
      </xdr:grpSpPr>
      <xdr:grpSp>
        <xdr:nvGrpSpPr>
          <xdr:cNvPr id="16" name="Group 211"/>
          <xdr:cNvGrpSpPr>
            <a:grpSpLocks/>
          </xdr:cNvGrpSpPr>
        </xdr:nvGrpSpPr>
        <xdr:grpSpPr>
          <a:xfrm>
            <a:off x="51" y="1676"/>
            <a:ext cx="957" cy="367"/>
            <a:chOff x="49" y="1630"/>
            <a:chExt cx="957" cy="367"/>
          </a:xfrm>
          <a:solidFill>
            <a:srgbClr val="FFFFFF"/>
          </a:solidFill>
        </xdr:grpSpPr>
        <xdr:pic>
          <xdr:nvPicPr>
            <xdr:cNvPr id="17" name="Picture 193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523" y="1650"/>
              <a:ext cx="483" cy="337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18" name="Group 210"/>
            <xdr:cNvGrpSpPr>
              <a:grpSpLocks/>
            </xdr:cNvGrpSpPr>
          </xdr:nvGrpSpPr>
          <xdr:grpSpPr>
            <a:xfrm>
              <a:off x="49" y="1630"/>
              <a:ext cx="351" cy="367"/>
              <a:chOff x="49" y="1630"/>
              <a:chExt cx="351" cy="367"/>
            </a:xfrm>
            <a:solidFill>
              <a:srgbClr val="FFFFFF"/>
            </a:solidFill>
          </xdr:grpSpPr>
          <xdr:pic>
            <xdr:nvPicPr>
              <xdr:cNvPr id="19" name="Picture 194"/>
              <xdr:cNvPicPr preferRelativeResize="1">
                <a:picLocks noChangeAspect="1"/>
              </xdr:cNvPicPr>
            </xdr:nvPicPr>
            <xdr:blipFill>
              <a:blip r:embed="rId4"/>
              <a:stretch>
                <a:fillRect/>
              </a:stretch>
            </xdr:blipFill>
            <xdr:spPr>
              <a:xfrm>
                <a:off x="49" y="1630"/>
                <a:ext cx="351" cy="36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20" name="Rectangle 208"/>
              <xdr:cNvSpPr>
                <a:spLocks/>
              </xdr:cNvSpPr>
            </xdr:nvSpPr>
            <xdr:spPr>
              <a:xfrm>
                <a:off x="357" y="1640"/>
                <a:ext cx="25" cy="35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Rectangle 209"/>
              <xdr:cNvSpPr>
                <a:spLocks/>
              </xdr:cNvSpPr>
            </xdr:nvSpPr>
            <xdr:spPr>
              <a:xfrm>
                <a:off x="55" y="1640"/>
                <a:ext cx="25" cy="34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Rectangle 207"/>
              <xdr:cNvSpPr>
                <a:spLocks/>
              </xdr:cNvSpPr>
            </xdr:nvSpPr>
            <xdr:spPr>
              <a:xfrm>
                <a:off x="55" y="1640"/>
                <a:ext cx="327" cy="1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Rectangle 206"/>
              <xdr:cNvSpPr>
                <a:spLocks/>
              </xdr:cNvSpPr>
            </xdr:nvSpPr>
            <xdr:spPr>
              <a:xfrm>
                <a:off x="55" y="1975"/>
                <a:ext cx="327" cy="1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4" name="Rectangle 218"/>
          <xdr:cNvSpPr>
            <a:spLocks/>
          </xdr:cNvSpPr>
        </xdr:nvSpPr>
        <xdr:spPr>
          <a:xfrm>
            <a:off x="696" y="1807"/>
            <a:ext cx="5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     A</a:t>
            </a:r>
          </a:p>
        </xdr:txBody>
      </xdr:sp>
      <xdr:sp>
        <xdr:nvSpPr>
          <xdr:cNvPr id="25" name="Rectangle 219"/>
          <xdr:cNvSpPr>
            <a:spLocks/>
          </xdr:cNvSpPr>
        </xdr:nvSpPr>
        <xdr:spPr>
          <a:xfrm>
            <a:off x="625" y="1753"/>
            <a:ext cx="5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     C</a:t>
            </a:r>
          </a:p>
        </xdr:txBody>
      </xdr:sp>
      <xdr:sp>
        <xdr:nvSpPr>
          <xdr:cNvPr id="26" name="Rectangle 220"/>
          <xdr:cNvSpPr>
            <a:spLocks/>
          </xdr:cNvSpPr>
        </xdr:nvSpPr>
        <xdr:spPr>
          <a:xfrm>
            <a:off x="736" y="1847"/>
            <a:ext cx="5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     B</a:t>
            </a:r>
          </a:p>
        </xdr:txBody>
      </xdr:sp>
      <xdr:grpSp>
        <xdr:nvGrpSpPr>
          <xdr:cNvPr id="27" name="Group 227"/>
          <xdr:cNvGrpSpPr>
            <a:grpSpLocks/>
          </xdr:cNvGrpSpPr>
        </xdr:nvGrpSpPr>
        <xdr:grpSpPr>
          <a:xfrm>
            <a:off x="619" y="1902"/>
            <a:ext cx="128" cy="65"/>
            <a:chOff x="651" y="1902"/>
            <a:chExt cx="128" cy="65"/>
          </a:xfrm>
          <a:solidFill>
            <a:srgbClr val="FFFFFF"/>
          </a:solidFill>
        </xdr:grpSpPr>
        <xdr:sp>
          <xdr:nvSpPr>
            <xdr:cNvPr id="28" name="Rectangle 222"/>
            <xdr:cNvSpPr>
              <a:spLocks/>
            </xdr:cNvSpPr>
          </xdr:nvSpPr>
          <xdr:spPr>
            <a:xfrm>
              <a:off x="651" y="1916"/>
              <a:ext cx="91" cy="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    </a:t>
              </a:r>
              <a:r>
                <a:rPr lang="en-US" cap="none" sz="1200" b="1" i="0" u="sng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 7.25</a:t>
              </a:r>
              <a:r>
                <a:rPr lang="en-US" cap="none" sz="12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
       12
</a:t>
              </a:r>
            </a:p>
          </xdr:txBody>
        </xdr:sp>
        <xdr:sp>
          <xdr:nvSpPr>
            <xdr:cNvPr id="29" name="Rectangle 224"/>
            <xdr:cNvSpPr>
              <a:spLocks/>
            </xdr:cNvSpPr>
          </xdr:nvSpPr>
          <xdr:spPr>
            <a:xfrm>
              <a:off x="691" y="1902"/>
              <a:ext cx="88" cy="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
     SIDE</a:t>
              </a:r>
            </a:p>
          </xdr:txBody>
        </xdr:sp>
      </xdr:grpSp>
      <xdr:grpSp>
        <xdr:nvGrpSpPr>
          <xdr:cNvPr id="30" name="Group 230"/>
          <xdr:cNvGrpSpPr>
            <a:grpSpLocks/>
          </xdr:cNvGrpSpPr>
        </xdr:nvGrpSpPr>
        <xdr:grpSpPr>
          <a:xfrm>
            <a:off x="735" y="1792"/>
            <a:ext cx="146" cy="73"/>
            <a:chOff x="735" y="1792"/>
            <a:chExt cx="146" cy="73"/>
          </a:xfrm>
          <a:solidFill>
            <a:srgbClr val="FFFFFF"/>
          </a:solidFill>
        </xdr:grpSpPr>
        <xdr:sp>
          <xdr:nvSpPr>
            <xdr:cNvPr id="31" name="Rectangle 223"/>
            <xdr:cNvSpPr>
              <a:spLocks/>
            </xdr:cNvSpPr>
          </xdr:nvSpPr>
          <xdr:spPr>
            <a:xfrm>
              <a:off x="735" y="1805"/>
              <a:ext cx="107" cy="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      </a:t>
              </a:r>
              <a:r>
                <a:rPr lang="en-US" cap="none" sz="1200" b="1" i="0" u="sng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  9  </a:t>
              </a:r>
              <a:r>
                <a:rPr lang="en-US" cap="none" sz="12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
       12
</a:t>
              </a:r>
            </a:p>
          </xdr:txBody>
        </xdr:sp>
        <xdr:sp>
          <xdr:nvSpPr>
            <xdr:cNvPr id="32" name="Rectangle 225"/>
            <xdr:cNvSpPr>
              <a:spLocks/>
            </xdr:cNvSpPr>
          </xdr:nvSpPr>
          <xdr:spPr>
            <a:xfrm>
              <a:off x="773" y="1792"/>
              <a:ext cx="108" cy="6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
     SIDE</a:t>
              </a:r>
            </a:p>
          </xdr:txBody>
        </xdr:sp>
      </xdr:grpSp>
    </xdr:grpSp>
    <xdr:clientData/>
  </xdr:twoCellAnchor>
  <xdr:twoCellAnchor>
    <xdr:from>
      <xdr:col>3</xdr:col>
      <xdr:colOff>0</xdr:colOff>
      <xdr:row>1</xdr:row>
      <xdr:rowOff>9525</xdr:rowOff>
    </xdr:from>
    <xdr:to>
      <xdr:col>5</xdr:col>
      <xdr:colOff>161925</xdr:colOff>
      <xdr:row>4</xdr:row>
      <xdr:rowOff>171450</xdr:rowOff>
    </xdr:to>
    <xdr:sp>
      <xdr:nvSpPr>
        <xdr:cNvPr id="33" name="Rectangle 235"/>
        <xdr:cNvSpPr>
          <a:spLocks/>
        </xdr:cNvSpPr>
      </xdr:nvSpPr>
      <xdr:spPr>
        <a:xfrm>
          <a:off x="2143125" y="180975"/>
          <a:ext cx="15906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600" b="1" i="0" u="none" baseline="0"/>
            <a:t>L. A. 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35</xdr:row>
      <xdr:rowOff>66675</xdr:rowOff>
    </xdr:from>
    <xdr:to>
      <xdr:col>3</xdr:col>
      <xdr:colOff>276225</xdr:colOff>
      <xdr:row>42</xdr:row>
      <xdr:rowOff>47625</xdr:rowOff>
    </xdr:to>
    <xdr:grpSp>
      <xdr:nvGrpSpPr>
        <xdr:cNvPr id="34" name="Group 250"/>
        <xdr:cNvGrpSpPr>
          <a:grpSpLocks/>
        </xdr:cNvGrpSpPr>
      </xdr:nvGrpSpPr>
      <xdr:grpSpPr>
        <a:xfrm>
          <a:off x="1447800" y="5915025"/>
          <a:ext cx="971550" cy="1114425"/>
          <a:chOff x="152" y="621"/>
          <a:chExt cx="102" cy="117"/>
        </a:xfrm>
        <a:solidFill>
          <a:srgbClr val="FFFFFF"/>
        </a:solidFill>
      </xdr:grpSpPr>
      <xdr:sp>
        <xdr:nvSpPr>
          <xdr:cNvPr id="36" name="Oval 246"/>
          <xdr:cNvSpPr>
            <a:spLocks/>
          </xdr:cNvSpPr>
        </xdr:nvSpPr>
        <xdr:spPr>
          <a:xfrm>
            <a:off x="247" y="649"/>
            <a:ext cx="3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www.tfguild.org" TargetMode="External" /><Relationship Id="rId2" Type="http://schemas.openxmlformats.org/officeDocument/2006/relationships/hyperlink" Target="http://www.steel-link.com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4" width="10.7109375" style="0" customWidth="1"/>
    <col min="15" max="15" width="9.7109375" style="0" customWidth="1"/>
    <col min="17" max="17" width="0" style="0" hidden="1" customWidth="1"/>
    <col min="18" max="26" width="9.140625" style="0" hidden="1" customWidth="1"/>
    <col min="27" max="27" width="14.8515625" style="0" hidden="1" customWidth="1"/>
    <col min="28" max="46" width="9.140625" style="0" hidden="1" customWidth="1"/>
    <col min="47" max="47" width="8.421875" style="0" hidden="1" customWidth="1"/>
    <col min="48" max="48" width="7.140625" style="0" hidden="1" customWidth="1"/>
    <col min="49" max="49" width="7.28125" style="0" hidden="1" customWidth="1"/>
    <col min="50" max="50" width="9.140625" style="0" hidden="1" customWidth="1"/>
    <col min="51" max="51" width="9.00390625" style="0" hidden="1" customWidth="1"/>
    <col min="52" max="52" width="9.140625" style="0" hidden="1" customWidth="1"/>
    <col min="53" max="54" width="9.00390625" style="0" hidden="1" customWidth="1"/>
    <col min="55" max="55" width="9.28125" style="0" hidden="1" customWidth="1"/>
    <col min="56" max="56" width="9.00390625" style="0" hidden="1" customWidth="1"/>
    <col min="57" max="57" width="9.28125" style="0" hidden="1" customWidth="1"/>
    <col min="58" max="58" width="9.00390625" style="0" hidden="1" customWidth="1"/>
    <col min="59" max="59" width="9.7109375" style="0" hidden="1" customWidth="1"/>
    <col min="60" max="60" width="9.28125" style="0" hidden="1" customWidth="1"/>
    <col min="61" max="62" width="9.7109375" style="0" hidden="1" customWidth="1"/>
    <col min="63" max="100" width="9.140625" style="0" hidden="1" customWidth="1"/>
    <col min="101" max="101" width="9.421875" style="0" hidden="1" customWidth="1"/>
    <col min="102" max="255" width="9.140625" style="0" hidden="1" customWidth="1"/>
    <col min="256" max="16384" width="0.13671875" style="0" hidden="1" customWidth="1"/>
  </cols>
  <sheetData>
    <row r="1" ht="13.5" thickBot="1">
      <c r="O1" s="3"/>
    </row>
    <row r="2" spans="2:13" ht="12.75">
      <c r="B2" s="99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52" ht="20.25">
      <c r="B3" s="25"/>
      <c r="C3" s="9"/>
      <c r="D3" s="9"/>
      <c r="E3" s="9"/>
      <c r="F3" s="62" t="s">
        <v>225</v>
      </c>
      <c r="G3" s="46"/>
      <c r="H3" s="9"/>
      <c r="I3" s="9"/>
      <c r="J3" s="9"/>
      <c r="K3" s="9"/>
      <c r="L3" s="9"/>
      <c r="M3" s="10"/>
      <c r="P3" s="3"/>
      <c r="Q3" s="3"/>
      <c r="R3" s="3"/>
      <c r="S3" s="3"/>
      <c r="T3" s="3"/>
      <c r="U3" s="3"/>
      <c r="V3" s="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</row>
    <row r="4" spans="2:67" ht="15.75">
      <c r="B4" s="25"/>
      <c r="C4" s="9"/>
      <c r="D4" s="9"/>
      <c r="E4" s="9"/>
      <c r="F4" s="98" t="str">
        <f>$AJ$62</f>
        <v>MAIN SIDE</v>
      </c>
      <c r="G4" s="9"/>
      <c r="H4" s="9"/>
      <c r="I4" s="9"/>
      <c r="J4" s="61" t="str">
        <f>$AQ$61</f>
        <v> </v>
      </c>
      <c r="K4" s="9"/>
      <c r="L4" s="9"/>
      <c r="M4" s="10"/>
      <c r="P4" s="2"/>
      <c r="Q4" s="2"/>
      <c r="R4" s="2"/>
      <c r="S4" s="2"/>
      <c r="T4" s="2"/>
      <c r="U4" s="2"/>
      <c r="V4" s="102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</row>
    <row r="5" spans="2:67" ht="15.75">
      <c r="B5" s="25"/>
      <c r="C5" s="9"/>
      <c r="D5" s="9"/>
      <c r="E5" s="9"/>
      <c r="F5" s="98" t="str">
        <f>$AQ$62</f>
        <v> </v>
      </c>
      <c r="G5" s="9"/>
      <c r="H5" s="9"/>
      <c r="I5" s="9"/>
      <c r="J5" s="9" t="str">
        <f>$AJ$79</f>
        <v> </v>
      </c>
      <c r="K5" s="9"/>
      <c r="L5" s="9"/>
      <c r="M5" s="10"/>
      <c r="P5" s="2"/>
      <c r="Q5" s="2"/>
      <c r="R5" s="2"/>
      <c r="S5" s="2"/>
      <c r="T5" s="2"/>
      <c r="U5" s="2"/>
      <c r="V5" s="102"/>
      <c r="W5" s="103"/>
      <c r="X5" s="103"/>
      <c r="Y5" s="103"/>
      <c r="Z5" s="103"/>
      <c r="AA5" s="102"/>
      <c r="AB5" s="107"/>
      <c r="AC5" s="107"/>
      <c r="AD5" s="107"/>
      <c r="AE5" s="160"/>
      <c r="AF5" s="160"/>
      <c r="AG5" s="160"/>
      <c r="AH5" s="160"/>
      <c r="AI5" s="104"/>
      <c r="AJ5" s="104"/>
      <c r="AK5" s="104"/>
      <c r="AL5" s="104"/>
      <c r="AM5" s="104"/>
      <c r="AN5" s="104"/>
      <c r="AO5" s="104"/>
      <c r="AP5" s="103"/>
      <c r="AQ5" s="103"/>
      <c r="AR5" s="103"/>
      <c r="AS5" s="102"/>
      <c r="AT5" s="102" t="s">
        <v>119</v>
      </c>
      <c r="AU5" s="105" t="s">
        <v>120</v>
      </c>
      <c r="AV5" s="102" t="s">
        <v>119</v>
      </c>
      <c r="AW5" s="105" t="s">
        <v>120</v>
      </c>
      <c r="AX5" s="102"/>
      <c r="AY5" s="102"/>
      <c r="AZ5" s="102" t="s">
        <v>119</v>
      </c>
      <c r="BA5" s="105" t="s">
        <v>120</v>
      </c>
      <c r="BB5" s="102" t="s">
        <v>119</v>
      </c>
      <c r="BC5" s="105" t="s">
        <v>120</v>
      </c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</row>
    <row r="6" spans="2:67" ht="12.75">
      <c r="B6" s="25"/>
      <c r="C6" s="29"/>
      <c r="D6" s="30"/>
      <c r="E6" s="30"/>
      <c r="F6" s="30"/>
      <c r="G6" s="30"/>
      <c r="H6" s="30"/>
      <c r="I6" s="30"/>
      <c r="J6" s="30"/>
      <c r="K6" s="30"/>
      <c r="L6" s="31"/>
      <c r="M6" s="10"/>
      <c r="P6" s="2"/>
      <c r="Q6" s="2"/>
      <c r="R6" s="2"/>
      <c r="S6" s="2"/>
      <c r="T6" s="2"/>
      <c r="U6" s="2"/>
      <c r="V6" s="102"/>
      <c r="W6" s="103"/>
      <c r="X6" s="103"/>
      <c r="Y6" s="103"/>
      <c r="Z6" s="103"/>
      <c r="AA6" s="103"/>
      <c r="AB6" s="160"/>
      <c r="AC6" s="160"/>
      <c r="AD6" s="160"/>
      <c r="AE6" s="160"/>
      <c r="AF6" s="160"/>
      <c r="AG6" s="160"/>
      <c r="AH6" s="160"/>
      <c r="AI6" s="106" t="s">
        <v>0</v>
      </c>
      <c r="AJ6" s="104"/>
      <c r="AK6" s="103"/>
      <c r="AL6" s="104" t="s">
        <v>81</v>
      </c>
      <c r="AM6" s="106" t="s">
        <v>1</v>
      </c>
      <c r="AN6" s="104"/>
      <c r="AO6" s="103"/>
      <c r="AP6" s="104" t="s">
        <v>81</v>
      </c>
      <c r="AQ6" s="103"/>
      <c r="AR6" s="103"/>
      <c r="AS6" s="104" t="s">
        <v>0</v>
      </c>
      <c r="AT6" s="104"/>
      <c r="AU6" s="107"/>
      <c r="AV6" s="104" t="s">
        <v>81</v>
      </c>
      <c r="AW6" s="107"/>
      <c r="AX6" s="102"/>
      <c r="AY6" s="106" t="s">
        <v>1</v>
      </c>
      <c r="AZ6" s="102"/>
      <c r="BA6" s="107"/>
      <c r="BB6" s="104" t="s">
        <v>81</v>
      </c>
      <c r="BC6" s="107"/>
      <c r="BD6" s="103"/>
      <c r="BE6" s="103"/>
      <c r="BF6" s="103"/>
      <c r="BG6" s="103"/>
      <c r="BH6" s="103"/>
      <c r="BI6" s="160"/>
      <c r="BJ6" s="160"/>
      <c r="BK6" s="160"/>
      <c r="BL6" s="160"/>
      <c r="BM6" s="160"/>
      <c r="BN6" s="160"/>
      <c r="BO6" s="160"/>
    </row>
    <row r="7" spans="1:67" ht="12.75">
      <c r="A7" s="1"/>
      <c r="B7" s="25"/>
      <c r="C7" s="21"/>
      <c r="D7" s="2"/>
      <c r="E7" s="2"/>
      <c r="F7" s="59" t="s">
        <v>222</v>
      </c>
      <c r="G7" s="57" t="s">
        <v>158</v>
      </c>
      <c r="H7" s="28" t="s">
        <v>167</v>
      </c>
      <c r="I7" s="2"/>
      <c r="J7" s="90" t="str">
        <f>$AJ$64</f>
        <v> </v>
      </c>
      <c r="K7" s="2"/>
      <c r="L7" s="13"/>
      <c r="M7" s="10"/>
      <c r="Q7" s="2"/>
      <c r="R7" s="2"/>
      <c r="S7" s="2"/>
      <c r="T7" s="2"/>
      <c r="U7" s="2"/>
      <c r="V7" s="102"/>
      <c r="W7" s="103"/>
      <c r="X7" s="103"/>
      <c r="Y7" s="103"/>
      <c r="Z7" s="103"/>
      <c r="AA7" s="103"/>
      <c r="AB7" s="160" t="str">
        <f aca="true" t="shared" si="0" ref="AB7:AB42">IF(LEFT($G$13)="A",$AM$7:$AM$42,$AI$7:$AI$42)</f>
        <v>DD</v>
      </c>
      <c r="AC7" s="160">
        <f aca="true" t="shared" si="1" ref="AC7:AC42">IF(LEFT($G$13)="A",$AN$7:$AN$42,$AJ$7:$AJ$42)</f>
        <v>45</v>
      </c>
      <c r="AD7" s="108">
        <f aca="true" t="shared" si="2" ref="AD7:AD42">IF(LEFT($G$13)="A",$BA$7:$BA$42,$AU$7:$AU$42)</f>
        <v>11.999999999989999</v>
      </c>
      <c r="AE7" s="160" t="str">
        <f aca="true" t="shared" si="3" ref="AE7:AE42">IF(LEFT($G$13)="A",$AO$7:$AO$42,$AK$7:$AK$42)</f>
        <v>90-DD</v>
      </c>
      <c r="AF7" s="160">
        <f aca="true" t="shared" si="4" ref="AF7:AF42">IF(LEFT($G$13)="A",$AP$7:$AP$42,$AL$7:$AL$42)</f>
        <v>45</v>
      </c>
      <c r="AG7" s="108">
        <f aca="true" t="shared" si="5" ref="AG7:AG42">IF(LEFT($G$13)="A",$BC$7:$BC$42,$AW$7:$AW$42)</f>
        <v>11.999999999989999</v>
      </c>
      <c r="AH7" s="160"/>
      <c r="AI7" s="109" t="str">
        <f>IF(LEFT($G$15)="Y","C5","DD")</f>
        <v>DD</v>
      </c>
      <c r="AJ7" s="104">
        <f>ATAN($BM$19)*$BJ$9</f>
        <v>45</v>
      </c>
      <c r="AK7" s="109" t="str">
        <f>IF(LEFT($G$15)="Y","90-C5","90-DD")</f>
        <v>90-DD</v>
      </c>
      <c r="AL7" s="104">
        <f>90-$AJ$7</f>
        <v>45</v>
      </c>
      <c r="AM7" s="110" t="str">
        <f>IF(LEFT($G$15)="Y","C5","D")</f>
        <v>D</v>
      </c>
      <c r="AN7" s="104">
        <f>ATAN($BM$20)*$BJ$9</f>
        <v>45</v>
      </c>
      <c r="AO7" s="110" t="str">
        <f>IF(LEFT($G$15)="Y","90-C5","90-D")</f>
        <v>90-D</v>
      </c>
      <c r="AP7" s="104">
        <f>90-$AN$7</f>
        <v>45</v>
      </c>
      <c r="AQ7" s="103"/>
      <c r="AR7" s="103"/>
      <c r="AS7" s="104" t="s">
        <v>2</v>
      </c>
      <c r="AT7" s="102">
        <f aca="true" t="shared" si="6" ref="AT7:AU26">TAN(RADIANS($AJ$7:$AJ$42))*$G$12-0.00000000001</f>
        <v>11.999999999989999</v>
      </c>
      <c r="AU7" s="108">
        <f t="shared" si="6"/>
        <v>11.999999999989999</v>
      </c>
      <c r="AV7" s="102">
        <f aca="true" t="shared" si="7" ref="AV7:AW26">TAN(RADIANS($AL$7:$AL$42))*$G$12-0.00000000001</f>
        <v>11.999999999989999</v>
      </c>
      <c r="AW7" s="108">
        <f t="shared" si="7"/>
        <v>11.999999999989999</v>
      </c>
      <c r="AX7" s="102"/>
      <c r="AY7" s="106" t="s">
        <v>3</v>
      </c>
      <c r="AZ7" s="102">
        <f>TAN(RADIANS($AN$7:$AN$42))*$G$12-0.00000000001</f>
        <v>11.999999999989999</v>
      </c>
      <c r="BA7" s="108">
        <f>TAN(RADIANS($AN$7:$AN$42))*$G$12-0.00000000001</f>
        <v>11.999999999989999</v>
      </c>
      <c r="BB7" s="102">
        <f>TAN(RADIANS($AP$7:$AP$42))*$G$12-0.00000000001</f>
        <v>11.999999999989999</v>
      </c>
      <c r="BC7" s="108">
        <f>TAN(RADIANS($AP$7:$AP$42))*$G$12-0.00000000001</f>
        <v>11.999999999989999</v>
      </c>
      <c r="BD7" s="103"/>
      <c r="BE7" s="103"/>
      <c r="BF7" s="103"/>
      <c r="BG7" s="103"/>
      <c r="BH7" s="103"/>
      <c r="BI7" s="160"/>
      <c r="BJ7" s="160"/>
      <c r="BK7" s="160"/>
      <c r="BL7" s="160"/>
      <c r="BM7" s="160"/>
      <c r="BN7" s="160"/>
      <c r="BO7" s="160"/>
    </row>
    <row r="8" spans="2:67" ht="12.75">
      <c r="B8" s="25"/>
      <c r="C8" s="21"/>
      <c r="D8" s="16"/>
      <c r="E8" s="2"/>
      <c r="F8" s="27" t="s">
        <v>157</v>
      </c>
      <c r="G8" s="60" t="str">
        <f>IF(LEFT($G$7)="Y","DEGREES","RISE ")</f>
        <v>RISE </v>
      </c>
      <c r="H8" s="60" t="str">
        <f>IF(LEFT($G$7)="Y","N / A","RUN ")</f>
        <v>RUN </v>
      </c>
      <c r="I8" s="6" t="str">
        <f>$AJ$65</f>
        <v> </v>
      </c>
      <c r="J8" s="2"/>
      <c r="K8" s="2"/>
      <c r="L8" s="13"/>
      <c r="M8" s="10"/>
      <c r="V8" s="103"/>
      <c r="W8" s="103"/>
      <c r="X8" s="103"/>
      <c r="Y8" s="103"/>
      <c r="Z8" s="103"/>
      <c r="AA8" s="103"/>
      <c r="AB8" s="160" t="str">
        <f t="shared" si="0"/>
        <v>SS</v>
      </c>
      <c r="AC8" s="160">
        <f t="shared" si="1"/>
        <v>45</v>
      </c>
      <c r="AD8" s="108">
        <f t="shared" si="2"/>
        <v>11.999999999989999</v>
      </c>
      <c r="AE8" s="160" t="str">
        <f t="shared" si="3"/>
        <v>90-SS</v>
      </c>
      <c r="AF8" s="160">
        <f t="shared" si="4"/>
        <v>45</v>
      </c>
      <c r="AG8" s="108">
        <f t="shared" si="5"/>
        <v>11.999999999989999</v>
      </c>
      <c r="AH8" s="160"/>
      <c r="AI8" s="109" t="str">
        <f>IF(LEFT($G$15)="Y","90-P2","SS")</f>
        <v>SS</v>
      </c>
      <c r="AJ8" s="104">
        <f>ATAN($BM$21)*$BJ$9</f>
        <v>45</v>
      </c>
      <c r="AK8" s="109" t="str">
        <f>IF(LEFT($G$15)="Y","P2","90-SS")</f>
        <v>90-SS</v>
      </c>
      <c r="AL8" s="104">
        <f>90-$AJ$8</f>
        <v>45</v>
      </c>
      <c r="AM8" s="110" t="str">
        <f>IF(LEFT($G$15)="Y","90-P2","S")</f>
        <v>S</v>
      </c>
      <c r="AN8" s="104">
        <f>ATAN($BM$22)*$BJ$9</f>
        <v>45</v>
      </c>
      <c r="AO8" s="110" t="str">
        <f>IF(LEFT($G$15)="Y","P2","90-S")</f>
        <v>90-S</v>
      </c>
      <c r="AP8" s="104">
        <f>90-$AN$8</f>
        <v>45</v>
      </c>
      <c r="AQ8" s="103"/>
      <c r="AR8" s="103"/>
      <c r="AS8" s="104" t="s">
        <v>4</v>
      </c>
      <c r="AT8" s="102">
        <f t="shared" si="6"/>
        <v>11.999999999989999</v>
      </c>
      <c r="AU8" s="108">
        <f t="shared" si="6"/>
        <v>11.999999999989999</v>
      </c>
      <c r="AV8" s="102">
        <f t="shared" si="7"/>
        <v>11.999999999989999</v>
      </c>
      <c r="AW8" s="108">
        <f t="shared" si="7"/>
        <v>11.999999999989999</v>
      </c>
      <c r="AX8" s="102"/>
      <c r="AY8" s="106" t="s">
        <v>5</v>
      </c>
      <c r="AZ8" s="102">
        <f>TAN(RADIANS($AN$7:$AN$42))*$G$12-0.00000000001</f>
        <v>11.999999999989999</v>
      </c>
      <c r="BA8" s="108">
        <f>TAN(RADIANS($AN$7:$AN$42))*$G$12-0.00000000001</f>
        <v>11.999999999989999</v>
      </c>
      <c r="BB8" s="102">
        <f>TAN(RADIANS($AP$7:$AP$42))*$G$12-0.00000000001</f>
        <v>11.999999999989999</v>
      </c>
      <c r="BC8" s="108">
        <f>TAN(RADIANS($AP$7:$AP$42))*$G$12-0.00000000001</f>
        <v>11.999999999989999</v>
      </c>
      <c r="BD8" s="103"/>
      <c r="BE8" s="103"/>
      <c r="BF8" s="103"/>
      <c r="BG8" s="103"/>
      <c r="BH8" s="103"/>
      <c r="BI8" s="160"/>
      <c r="BJ8" s="176">
        <f>PI()/180</f>
        <v>0.017453292519943295</v>
      </c>
      <c r="BK8" s="176" t="s">
        <v>13</v>
      </c>
      <c r="BL8" s="176"/>
      <c r="BM8" s="160"/>
      <c r="BN8" s="160"/>
      <c r="BO8" s="160"/>
    </row>
    <row r="9" spans="2:68" ht="12.75" customHeight="1">
      <c r="B9" s="25"/>
      <c r="C9" s="21"/>
      <c r="D9" s="16"/>
      <c r="E9" s="16"/>
      <c r="F9" s="82" t="str">
        <f>IF(LEFT($G$7)="Y",$AN$83,$AN$79)</f>
        <v>MAIN PITCH</v>
      </c>
      <c r="G9" s="57">
        <v>12</v>
      </c>
      <c r="H9" s="57">
        <v>12</v>
      </c>
      <c r="I9" s="58"/>
      <c r="J9" s="2"/>
      <c r="K9" s="63" t="str">
        <f>IF(LEFT($AK$52)="t",$AB$43," ")</f>
        <v> </v>
      </c>
      <c r="L9" s="66" t="str">
        <f>IF(LEFT($AK$52)="t",$AC$43," ")</f>
        <v> </v>
      </c>
      <c r="M9" s="10"/>
      <c r="V9" s="103"/>
      <c r="W9" s="103"/>
      <c r="X9" s="103"/>
      <c r="Y9" s="103"/>
      <c r="Z9" s="103"/>
      <c r="AA9" s="103"/>
      <c r="AB9" s="160" t="str">
        <f t="shared" si="0"/>
        <v>R1</v>
      </c>
      <c r="AC9" s="160">
        <f t="shared" si="1"/>
        <v>35.264389682754654</v>
      </c>
      <c r="AD9" s="108">
        <f t="shared" si="2"/>
        <v>8.485281374228572</v>
      </c>
      <c r="AE9" s="160" t="str">
        <f t="shared" si="3"/>
        <v>90-R1</v>
      </c>
      <c r="AF9" s="160">
        <f t="shared" si="4"/>
        <v>54.735610317245346</v>
      </c>
      <c r="AG9" s="108">
        <f t="shared" si="5"/>
        <v>16.97056274846714</v>
      </c>
      <c r="AH9" s="160"/>
      <c r="AI9" s="109" t="s">
        <v>6</v>
      </c>
      <c r="AJ9" s="104">
        <f>ATAN($BJ$10*$BK$19)*$BJ$9</f>
        <v>35.264389682754654</v>
      </c>
      <c r="AK9" s="109" t="s">
        <v>128</v>
      </c>
      <c r="AL9" s="104">
        <f>90-$AJ$9</f>
        <v>54.735610317245346</v>
      </c>
      <c r="AM9" s="110" t="s">
        <v>6</v>
      </c>
      <c r="AN9" s="104">
        <f>ATAN($BJ$10*$BK$19)*$BJ$9</f>
        <v>35.264389682754654</v>
      </c>
      <c r="AO9" s="110" t="s">
        <v>128</v>
      </c>
      <c r="AP9" s="104">
        <f>90-$AJ$9</f>
        <v>54.735610317245346</v>
      </c>
      <c r="AQ9" s="103"/>
      <c r="AR9" s="103"/>
      <c r="AS9" s="104" t="s">
        <v>6</v>
      </c>
      <c r="AT9" s="102">
        <f t="shared" si="6"/>
        <v>8.485281374228572</v>
      </c>
      <c r="AU9" s="108">
        <f t="shared" si="6"/>
        <v>8.485281374228572</v>
      </c>
      <c r="AV9" s="102">
        <f t="shared" si="7"/>
        <v>16.97056274846714</v>
      </c>
      <c r="AW9" s="108">
        <f t="shared" si="7"/>
        <v>16.97056274846714</v>
      </c>
      <c r="AX9" s="102"/>
      <c r="AY9" s="106" t="s">
        <v>6</v>
      </c>
      <c r="AZ9" s="102">
        <f>TAN(RADIANS($AJ$7:$AJ$42))*$G$12-0.00000000001</f>
        <v>8.485281374228572</v>
      </c>
      <c r="BA9" s="108">
        <f>TAN(RADIANS($AJ$7:$AJ$42))*$G$12-0.00000000001</f>
        <v>8.485281374228572</v>
      </c>
      <c r="BB9" s="102">
        <f>TAN(RADIANS($AL$7:$AL$42))*$G$12-0.00000000001</f>
        <v>16.97056274846714</v>
      </c>
      <c r="BC9" s="108">
        <f>TAN(RADIANS($AL$7:$AL$42))*$G$12-0.00000000001</f>
        <v>16.97056274846714</v>
      </c>
      <c r="BD9" s="103"/>
      <c r="BE9" s="103"/>
      <c r="BF9" s="103"/>
      <c r="BG9" s="103"/>
      <c r="BH9" s="103"/>
      <c r="BI9" s="160"/>
      <c r="BJ9" s="176">
        <f>180/PI()</f>
        <v>57.29577951308232</v>
      </c>
      <c r="BK9" s="176" t="s">
        <v>14</v>
      </c>
      <c r="BL9" s="176"/>
      <c r="BM9" s="160"/>
      <c r="BN9" s="160"/>
      <c r="BO9" s="160"/>
      <c r="BP9" s="159"/>
    </row>
    <row r="10" spans="2:68" ht="12.75">
      <c r="B10" s="25"/>
      <c r="C10" s="21"/>
      <c r="D10" s="16"/>
      <c r="E10" s="16"/>
      <c r="F10" s="82" t="str">
        <f>IF(LEFT($G$7)="Y",$AN$84,$AN$80)</f>
        <v>ADJACENT PITCH</v>
      </c>
      <c r="G10" s="57">
        <v>12</v>
      </c>
      <c r="H10" s="57">
        <v>12</v>
      </c>
      <c r="I10" s="58"/>
      <c r="J10" s="2"/>
      <c r="K10" s="63" t="str">
        <f>IF(LEFT($AK$52)="t",$AB$44," ")</f>
        <v> </v>
      </c>
      <c r="L10" s="66" t="str">
        <f>IF(LEFT($AK$52)="t",$AC$44," ")</f>
        <v> </v>
      </c>
      <c r="M10" s="10"/>
      <c r="O10" s="80"/>
      <c r="P10" s="79"/>
      <c r="Q10" s="1"/>
      <c r="V10" s="103"/>
      <c r="W10" s="103"/>
      <c r="X10" s="103"/>
      <c r="Y10" s="103"/>
      <c r="Z10" s="103"/>
      <c r="AA10" s="103"/>
      <c r="AB10" s="160" t="str">
        <f t="shared" si="0"/>
        <v>P2</v>
      </c>
      <c r="AC10" s="160">
        <f t="shared" si="1"/>
        <v>35.26438968275466</v>
      </c>
      <c r="AD10" s="108">
        <f t="shared" si="2"/>
        <v>8.485281374228572</v>
      </c>
      <c r="AE10" s="160" t="str">
        <f t="shared" si="3"/>
        <v>90-P2</v>
      </c>
      <c r="AF10" s="160">
        <f t="shared" si="4"/>
        <v>54.73561031724534</v>
      </c>
      <c r="AG10" s="108">
        <f t="shared" si="5"/>
        <v>16.970562748467135</v>
      </c>
      <c r="AH10" s="160"/>
      <c r="AI10" s="109" t="str">
        <f>IF(LEFT($G$15)="Y","90-SS","P2")</f>
        <v>P2</v>
      </c>
      <c r="AJ10" s="104">
        <f>ASIN($BL$19*$BL$23)*$BJ$9</f>
        <v>35.26438968275466</v>
      </c>
      <c r="AK10" s="109" t="str">
        <f>IF(LEFT($G$15)="Y","SS","90-P2")</f>
        <v>90-P2</v>
      </c>
      <c r="AL10" s="104">
        <f>90-$AJ$10</f>
        <v>54.73561031724534</v>
      </c>
      <c r="AM10" s="110" t="str">
        <f>IF(LEFT($G$15)="Y","90-S","P2")</f>
        <v>P2</v>
      </c>
      <c r="AN10" s="104">
        <f>ASIN($BL$20*$BL$23)*$BJ$9</f>
        <v>35.26438968275466</v>
      </c>
      <c r="AO10" s="110" t="str">
        <f>IF(LEFT($G$15)="Y","S","90-P2")</f>
        <v>90-P2</v>
      </c>
      <c r="AP10" s="104">
        <f>90-$AN$10</f>
        <v>54.73561031724534</v>
      </c>
      <c r="AQ10" s="103"/>
      <c r="AR10" s="103"/>
      <c r="AS10" s="104" t="s">
        <v>7</v>
      </c>
      <c r="AT10" s="102">
        <f t="shared" si="6"/>
        <v>8.485281374228572</v>
      </c>
      <c r="AU10" s="108">
        <f t="shared" si="6"/>
        <v>8.485281374228572</v>
      </c>
      <c r="AV10" s="102">
        <f t="shared" si="7"/>
        <v>16.970562748467135</v>
      </c>
      <c r="AW10" s="108">
        <f t="shared" si="7"/>
        <v>16.970562748467135</v>
      </c>
      <c r="AX10" s="102"/>
      <c r="AY10" s="106" t="s">
        <v>7</v>
      </c>
      <c r="AZ10" s="102">
        <f aca="true" t="shared" si="8" ref="AZ10:BA29">TAN(RADIANS($AN$7:$AN$42))*$G$12-0.00000000001</f>
        <v>8.485281374228572</v>
      </c>
      <c r="BA10" s="108">
        <f t="shared" si="8"/>
        <v>8.485281374228572</v>
      </c>
      <c r="BB10" s="102">
        <f aca="true" t="shared" si="9" ref="BB10:BC29">TAN(RADIANS($AP$7:$AP$42))*$G$12-0.00000000001</f>
        <v>16.970562748467135</v>
      </c>
      <c r="BC10" s="108">
        <f t="shared" si="9"/>
        <v>16.970562748467135</v>
      </c>
      <c r="BD10" s="103"/>
      <c r="BE10" s="103"/>
      <c r="BF10" s="103"/>
      <c r="BG10" s="103"/>
      <c r="BH10" s="103"/>
      <c r="BI10" s="160"/>
      <c r="BJ10" s="177">
        <f>IF(LEFT($G$7)="Y",TAN(RADIANS($G$9)),$G$9/$H$9)</f>
        <v>1</v>
      </c>
      <c r="BK10" s="176">
        <f>$BJ$10/$BJ$11</f>
        <v>1</v>
      </c>
      <c r="BL10" s="176" t="s">
        <v>17</v>
      </c>
      <c r="BM10" s="160"/>
      <c r="BN10" s="160"/>
      <c r="BO10" s="160"/>
      <c r="BP10" s="159"/>
    </row>
    <row r="11" spans="2:68" ht="12.75">
      <c r="B11" s="25"/>
      <c r="C11" s="21"/>
      <c r="D11" s="16"/>
      <c r="E11" s="16"/>
      <c r="F11" s="82" t="str">
        <f>$AN$81</f>
        <v>TOTAL DECK ANGLE</v>
      </c>
      <c r="G11" s="57">
        <v>90</v>
      </c>
      <c r="H11" s="15" t="s">
        <v>121</v>
      </c>
      <c r="I11" s="15"/>
      <c r="J11" s="2"/>
      <c r="K11" s="63" t="str">
        <f>IF(LEFT($AK$52)="t",$AB$45," ")</f>
        <v> </v>
      </c>
      <c r="L11" s="66" t="str">
        <f>IF(LEFT($AK$52)="t",$AC$45," ")</f>
        <v> </v>
      </c>
      <c r="M11" s="10"/>
      <c r="O11" s="80"/>
      <c r="P11" s="79"/>
      <c r="V11" s="103"/>
      <c r="W11" s="103"/>
      <c r="X11" s="103"/>
      <c r="Y11" s="103"/>
      <c r="Z11" s="103"/>
      <c r="AA11" s="103"/>
      <c r="AB11" s="160" t="str">
        <f t="shared" si="0"/>
        <v>C5</v>
      </c>
      <c r="AC11" s="160">
        <f t="shared" si="1"/>
        <v>30.000000000000004</v>
      </c>
      <c r="AD11" s="108">
        <f t="shared" si="2"/>
        <v>6.9282032302655105</v>
      </c>
      <c r="AE11" s="160" t="str">
        <f t="shared" si="3"/>
        <v>90-C5</v>
      </c>
      <c r="AF11" s="160">
        <f t="shared" si="4"/>
        <v>60</v>
      </c>
      <c r="AG11" s="108">
        <f t="shared" si="5"/>
        <v>20.78460969081652</v>
      </c>
      <c r="AH11" s="160"/>
      <c r="AI11" s="109" t="str">
        <f>IF(LEFT($G$15)="Y","DD","C5")</f>
        <v>C5</v>
      </c>
      <c r="AJ11" s="104">
        <f>ASIN($BK$21*$BL$19)*$BJ$9</f>
        <v>30.000000000000004</v>
      </c>
      <c r="AK11" s="109" t="str">
        <f>IF(LEFT($G$15)="Y","90-DD","90-C5")</f>
        <v>90-C5</v>
      </c>
      <c r="AL11" s="104">
        <f>90-$AJ$11</f>
        <v>60</v>
      </c>
      <c r="AM11" s="110" t="str">
        <f>IF(LEFT($G$15)="Y","D","C5")</f>
        <v>C5</v>
      </c>
      <c r="AN11" s="104">
        <f>ASIN($BK$22*$BL$20)*$BJ$9</f>
        <v>30.000000000000004</v>
      </c>
      <c r="AO11" s="110" t="str">
        <f>IF(LEFT($G$15)="Y","90-D","90-C5")</f>
        <v>90-C5</v>
      </c>
      <c r="AP11" s="104">
        <f>90-$AN$11</f>
        <v>60</v>
      </c>
      <c r="AQ11" s="103"/>
      <c r="AR11" s="103"/>
      <c r="AS11" s="104" t="s">
        <v>8</v>
      </c>
      <c r="AT11" s="102">
        <f t="shared" si="6"/>
        <v>6.9282032302655105</v>
      </c>
      <c r="AU11" s="108">
        <f t="shared" si="6"/>
        <v>6.9282032302655105</v>
      </c>
      <c r="AV11" s="102">
        <f t="shared" si="7"/>
        <v>20.78460969081652</v>
      </c>
      <c r="AW11" s="108">
        <f t="shared" si="7"/>
        <v>20.78460969081652</v>
      </c>
      <c r="AX11" s="102"/>
      <c r="AY11" s="106" t="s">
        <v>8</v>
      </c>
      <c r="AZ11" s="102">
        <f t="shared" si="8"/>
        <v>6.9282032302655105</v>
      </c>
      <c r="BA11" s="108">
        <f t="shared" si="8"/>
        <v>6.9282032302655105</v>
      </c>
      <c r="BB11" s="102">
        <f t="shared" si="9"/>
        <v>20.78460969081652</v>
      </c>
      <c r="BC11" s="108">
        <f t="shared" si="9"/>
        <v>20.78460969081652</v>
      </c>
      <c r="BD11" s="103"/>
      <c r="BE11" s="103"/>
      <c r="BF11" s="103"/>
      <c r="BG11" s="103"/>
      <c r="BH11" s="103"/>
      <c r="BI11" s="160"/>
      <c r="BJ11" s="177">
        <f>IF(LEFT($G$7)="Y",TAN(RADIANS($G$10)),$G$10/$H$10)</f>
        <v>1</v>
      </c>
      <c r="BK11" s="176">
        <f>$BJ$11/$BJ$10</f>
        <v>1</v>
      </c>
      <c r="BL11" s="176" t="s">
        <v>18</v>
      </c>
      <c r="BM11" s="160"/>
      <c r="BN11" s="160"/>
      <c r="BO11" s="160"/>
      <c r="BP11" s="159"/>
    </row>
    <row r="12" spans="2:68" ht="12.75">
      <c r="B12" s="25"/>
      <c r="C12" s="21"/>
      <c r="D12" s="16"/>
      <c r="E12" s="16"/>
      <c r="F12" s="27" t="s">
        <v>226</v>
      </c>
      <c r="G12" s="57">
        <v>12</v>
      </c>
      <c r="H12" s="16" t="s">
        <v>156</v>
      </c>
      <c r="I12" s="16"/>
      <c r="J12" s="2"/>
      <c r="K12" s="63" t="str">
        <f>IF(LEFT($AK$52)="t",$AB$46," ")</f>
        <v> </v>
      </c>
      <c r="L12" s="66" t="str">
        <f>IF(LEFT($AK$52)="t",$AC$46," ")</f>
        <v> </v>
      </c>
      <c r="M12" s="10"/>
      <c r="P12" s="79"/>
      <c r="V12" s="103"/>
      <c r="W12" s="103"/>
      <c r="X12" s="103"/>
      <c r="Y12" s="103"/>
      <c r="Z12" s="103"/>
      <c r="AA12" s="103"/>
      <c r="AB12" s="160" t="str">
        <f t="shared" si="0"/>
        <v>R4B</v>
      </c>
      <c r="AC12" s="160">
        <f t="shared" si="1"/>
        <v>39.23152048359226</v>
      </c>
      <c r="AD12" s="108">
        <f t="shared" si="2"/>
        <v>9.797958971122716</v>
      </c>
      <c r="AE12" s="160" t="str">
        <f t="shared" si="3"/>
        <v>90-R4B</v>
      </c>
      <c r="AF12" s="160">
        <f t="shared" si="4"/>
        <v>50.76847951640774</v>
      </c>
      <c r="AG12" s="108">
        <f t="shared" si="5"/>
        <v>14.696938456689066</v>
      </c>
      <c r="AH12" s="160"/>
      <c r="AI12" s="104" t="s">
        <v>108</v>
      </c>
      <c r="AJ12" s="104">
        <f>ATAN($BM$19*$BL$23)*$BJ$9</f>
        <v>39.23152048359226</v>
      </c>
      <c r="AK12" s="104" t="s">
        <v>129</v>
      </c>
      <c r="AL12" s="104">
        <f>90-$AJ$12</f>
        <v>50.76847951640774</v>
      </c>
      <c r="AM12" s="106" t="s">
        <v>108</v>
      </c>
      <c r="AN12" s="104">
        <f>ATAN($BM$20*$BL$23)*$BJ$9</f>
        <v>39.23152048359226</v>
      </c>
      <c r="AO12" s="106" t="s">
        <v>129</v>
      </c>
      <c r="AP12" s="104">
        <f>90-$AN$12</f>
        <v>50.76847951640774</v>
      </c>
      <c r="AQ12" s="103"/>
      <c r="AR12" s="103"/>
      <c r="AS12" s="104" t="s">
        <v>108</v>
      </c>
      <c r="AT12" s="102">
        <f t="shared" si="6"/>
        <v>9.797958971122716</v>
      </c>
      <c r="AU12" s="108">
        <f t="shared" si="6"/>
        <v>9.797958971122716</v>
      </c>
      <c r="AV12" s="102">
        <f t="shared" si="7"/>
        <v>14.696938456689066</v>
      </c>
      <c r="AW12" s="108">
        <f t="shared" si="7"/>
        <v>14.696938456689066</v>
      </c>
      <c r="AX12" s="102"/>
      <c r="AY12" s="106" t="s">
        <v>108</v>
      </c>
      <c r="AZ12" s="102">
        <f t="shared" si="8"/>
        <v>9.797958971122716</v>
      </c>
      <c r="BA12" s="108">
        <f t="shared" si="8"/>
        <v>9.797958971122716</v>
      </c>
      <c r="BB12" s="102">
        <f t="shared" si="9"/>
        <v>14.696938456689066</v>
      </c>
      <c r="BC12" s="108">
        <f t="shared" si="9"/>
        <v>14.696938456689066</v>
      </c>
      <c r="BD12" s="103"/>
      <c r="BE12" s="103"/>
      <c r="BF12" s="103"/>
      <c r="BG12" s="103"/>
      <c r="BH12" s="103"/>
      <c r="BI12" s="160"/>
      <c r="BJ12" s="176">
        <f>$G$11*$BJ$8</f>
        <v>1.5707963267948966</v>
      </c>
      <c r="BK12" s="176">
        <f>SIN($BJ$12)</f>
        <v>1</v>
      </c>
      <c r="BL12" s="176" t="s">
        <v>15</v>
      </c>
      <c r="BM12" s="160"/>
      <c r="BN12" s="160"/>
      <c r="BO12" s="160"/>
      <c r="BP12" s="159"/>
    </row>
    <row r="13" spans="2:68" ht="12.75">
      <c r="B13" s="25"/>
      <c r="C13" s="21"/>
      <c r="D13" s="16"/>
      <c r="E13" s="16"/>
      <c r="F13" s="27" t="s">
        <v>223</v>
      </c>
      <c r="G13" s="57" t="s">
        <v>169</v>
      </c>
      <c r="H13" s="16" t="s">
        <v>161</v>
      </c>
      <c r="I13" s="16"/>
      <c r="J13" s="2"/>
      <c r="K13" s="63" t="str">
        <f>IF(LEFT($AK$52)="t",$AB$47," ")</f>
        <v> </v>
      </c>
      <c r="L13" s="66" t="str">
        <f>IF(LEFT($AK$52)="t",$AC$47," ")</f>
        <v> </v>
      </c>
      <c r="M13" s="10"/>
      <c r="V13" s="103"/>
      <c r="W13" s="103"/>
      <c r="X13" s="103"/>
      <c r="Y13" s="103"/>
      <c r="Z13" s="103"/>
      <c r="AA13" s="103"/>
      <c r="AB13" s="160" t="str">
        <f t="shared" si="0"/>
        <v>R4P</v>
      </c>
      <c r="AC13" s="160">
        <f t="shared" si="1"/>
        <v>39.23152048359226</v>
      </c>
      <c r="AD13" s="108">
        <f t="shared" si="2"/>
        <v>9.797958971122716</v>
      </c>
      <c r="AE13" s="160" t="str">
        <f t="shared" si="3"/>
        <v>90-R4P</v>
      </c>
      <c r="AF13" s="160">
        <f t="shared" si="4"/>
        <v>50.76847951640774</v>
      </c>
      <c r="AG13" s="108">
        <f t="shared" si="5"/>
        <v>14.696938456689066</v>
      </c>
      <c r="AH13" s="160"/>
      <c r="AI13" s="104" t="s">
        <v>19</v>
      </c>
      <c r="AJ13" s="104">
        <f>ATAN($BM$24/$BL$26)*$BJ$9</f>
        <v>39.23152048359226</v>
      </c>
      <c r="AK13" s="104" t="s">
        <v>130</v>
      </c>
      <c r="AL13" s="104">
        <f>90-$AJ$13</f>
        <v>50.76847951640774</v>
      </c>
      <c r="AM13" s="106" t="s">
        <v>19</v>
      </c>
      <c r="AN13" s="104">
        <f>ATAN($BM$25/$BL$27)*$BJ$9</f>
        <v>39.23152048359226</v>
      </c>
      <c r="AO13" s="106" t="s">
        <v>130</v>
      </c>
      <c r="AP13" s="104">
        <f>90-$AN$13</f>
        <v>50.76847951640774</v>
      </c>
      <c r="AQ13" s="103"/>
      <c r="AR13" s="103"/>
      <c r="AS13" s="104" t="s">
        <v>19</v>
      </c>
      <c r="AT13" s="102">
        <f t="shared" si="6"/>
        <v>9.797958971122716</v>
      </c>
      <c r="AU13" s="108">
        <f t="shared" si="6"/>
        <v>9.797958971122716</v>
      </c>
      <c r="AV13" s="102">
        <f t="shared" si="7"/>
        <v>14.696938456689066</v>
      </c>
      <c r="AW13" s="108">
        <f t="shared" si="7"/>
        <v>14.696938456689066</v>
      </c>
      <c r="AX13" s="102"/>
      <c r="AY13" s="106" t="s">
        <v>19</v>
      </c>
      <c r="AZ13" s="102">
        <f t="shared" si="8"/>
        <v>9.797958971122716</v>
      </c>
      <c r="BA13" s="108">
        <f t="shared" si="8"/>
        <v>9.797958971122716</v>
      </c>
      <c r="BB13" s="102">
        <f t="shared" si="9"/>
        <v>14.696938456689066</v>
      </c>
      <c r="BC13" s="108">
        <f t="shared" si="9"/>
        <v>14.696938456689066</v>
      </c>
      <c r="BD13" s="103"/>
      <c r="BE13" s="103"/>
      <c r="BF13" s="103"/>
      <c r="BG13" s="103"/>
      <c r="BH13" s="103"/>
      <c r="BI13" s="160"/>
      <c r="BJ13" s="176"/>
      <c r="BK13" s="176">
        <f>COS($BJ$12)</f>
        <v>6.1257422745431E-17</v>
      </c>
      <c r="BL13" s="176" t="s">
        <v>16</v>
      </c>
      <c r="BM13" s="160"/>
      <c r="BN13" s="160"/>
      <c r="BO13" s="160"/>
      <c r="BP13" s="159"/>
    </row>
    <row r="14" spans="2:68" ht="12.75">
      <c r="B14" s="25"/>
      <c r="C14" s="21"/>
      <c r="D14" s="16"/>
      <c r="E14" s="16"/>
      <c r="F14" s="83" t="s">
        <v>224</v>
      </c>
      <c r="G14" s="57" t="s">
        <v>158</v>
      </c>
      <c r="H14" s="16" t="s">
        <v>162</v>
      </c>
      <c r="I14" s="16"/>
      <c r="J14" s="2"/>
      <c r="K14" s="63" t="str">
        <f>IF(LEFT($AK$52)="t",$AB$48," ")</f>
        <v> </v>
      </c>
      <c r="L14" s="66" t="str">
        <f>IF(LEFT($AK$52)="t",$AC$48," ")</f>
        <v> </v>
      </c>
      <c r="M14" s="10"/>
      <c r="V14" s="103"/>
      <c r="W14" s="103"/>
      <c r="X14" s="103"/>
      <c r="Y14" s="103"/>
      <c r="Z14" s="103"/>
      <c r="AA14" s="103"/>
      <c r="AB14" s="160" t="str">
        <f t="shared" si="0"/>
        <v>R5B</v>
      </c>
      <c r="AC14" s="160">
        <f t="shared" si="1"/>
        <v>26.565051177077994</v>
      </c>
      <c r="AD14" s="108">
        <f t="shared" si="2"/>
        <v>5.999999999990002</v>
      </c>
      <c r="AE14" s="160" t="str">
        <f t="shared" si="3"/>
        <v>90-R5B</v>
      </c>
      <c r="AF14" s="160">
        <f t="shared" si="4"/>
        <v>63.43494882292201</v>
      </c>
      <c r="AG14" s="108">
        <f t="shared" si="5"/>
        <v>23.999999999989992</v>
      </c>
      <c r="AH14" s="160"/>
      <c r="AI14" s="104" t="s">
        <v>20</v>
      </c>
      <c r="AJ14" s="104">
        <f>ATAN($BL$19*$BM$23)*$BJ$9</f>
        <v>26.565051177077994</v>
      </c>
      <c r="AK14" s="104" t="s">
        <v>131</v>
      </c>
      <c r="AL14" s="104">
        <f>90-$AJ$14</f>
        <v>63.43494882292201</v>
      </c>
      <c r="AM14" s="106" t="s">
        <v>20</v>
      </c>
      <c r="AN14" s="104">
        <f>ATAN($BL$20*$BM$23)*$BJ$9</f>
        <v>26.565051177077994</v>
      </c>
      <c r="AO14" s="106" t="s">
        <v>131</v>
      </c>
      <c r="AP14" s="104">
        <f>90-$AN$14</f>
        <v>63.43494882292201</v>
      </c>
      <c r="AQ14" s="103"/>
      <c r="AR14" s="103"/>
      <c r="AS14" s="104" t="s">
        <v>20</v>
      </c>
      <c r="AT14" s="102">
        <f t="shared" si="6"/>
        <v>5.999999999990002</v>
      </c>
      <c r="AU14" s="108">
        <f t="shared" si="6"/>
        <v>5.999999999990002</v>
      </c>
      <c r="AV14" s="102">
        <f t="shared" si="7"/>
        <v>23.999999999989992</v>
      </c>
      <c r="AW14" s="108">
        <f t="shared" si="7"/>
        <v>23.999999999989992</v>
      </c>
      <c r="AX14" s="102"/>
      <c r="AY14" s="106" t="s">
        <v>20</v>
      </c>
      <c r="AZ14" s="102">
        <f t="shared" si="8"/>
        <v>5.999999999990002</v>
      </c>
      <c r="BA14" s="108">
        <f t="shared" si="8"/>
        <v>5.999999999990002</v>
      </c>
      <c r="BB14" s="102">
        <f t="shared" si="9"/>
        <v>23.999999999989992</v>
      </c>
      <c r="BC14" s="108">
        <f t="shared" si="9"/>
        <v>23.999999999989992</v>
      </c>
      <c r="BD14" s="103"/>
      <c r="BE14" s="103"/>
      <c r="BF14" s="103"/>
      <c r="BG14" s="103"/>
      <c r="BH14" s="103"/>
      <c r="BI14" s="160"/>
      <c r="BJ14" s="176"/>
      <c r="BK14" s="176"/>
      <c r="BL14" s="176"/>
      <c r="BM14" s="160"/>
      <c r="BN14" s="160"/>
      <c r="BO14" s="160"/>
      <c r="BP14" s="159"/>
    </row>
    <row r="15" spans="2:68" ht="12.75">
      <c r="B15" s="25"/>
      <c r="C15" s="33"/>
      <c r="D15" s="2"/>
      <c r="E15" s="16"/>
      <c r="F15" s="84" t="str">
        <f>$AN$82</f>
        <v>COMPOUND JOINT ? Y / N</v>
      </c>
      <c r="G15" s="57" t="s">
        <v>158</v>
      </c>
      <c r="H15" s="28" t="s">
        <v>168</v>
      </c>
      <c r="I15" s="53"/>
      <c r="J15" s="2"/>
      <c r="K15" s="63" t="str">
        <f>IF(LEFT($AK$52)="t",$AB$49," ")</f>
        <v> </v>
      </c>
      <c r="L15" s="66" t="str">
        <f>IF(LEFT($AK$52)="t",$AC$49," ")</f>
        <v> </v>
      </c>
      <c r="M15" s="10"/>
      <c r="O15" s="1"/>
      <c r="P15" s="1"/>
      <c r="V15" s="103"/>
      <c r="W15" s="103"/>
      <c r="X15" s="103"/>
      <c r="Y15" s="103"/>
      <c r="Z15" s="103"/>
      <c r="AA15" s="103"/>
      <c r="AB15" s="160" t="str">
        <f t="shared" si="0"/>
        <v>R5P</v>
      </c>
      <c r="AC15" s="160">
        <f t="shared" si="1"/>
        <v>26.56505117707799</v>
      </c>
      <c r="AD15" s="108">
        <f t="shared" si="2"/>
        <v>5.999999999989999</v>
      </c>
      <c r="AE15" s="160" t="str">
        <f t="shared" si="3"/>
        <v>90-R5P</v>
      </c>
      <c r="AF15" s="160">
        <f t="shared" si="4"/>
        <v>63.43494882292201</v>
      </c>
      <c r="AG15" s="108">
        <f t="shared" si="5"/>
        <v>23.999999999989992</v>
      </c>
      <c r="AH15" s="160"/>
      <c r="AI15" s="104" t="s">
        <v>21</v>
      </c>
      <c r="AJ15" s="104">
        <f>ATAN($BK$19*$BM$23)*$BJ$9</f>
        <v>26.56505117707799</v>
      </c>
      <c r="AK15" s="104" t="s">
        <v>132</v>
      </c>
      <c r="AL15" s="104">
        <f>90-$AJ$15</f>
        <v>63.43494882292201</v>
      </c>
      <c r="AM15" s="106" t="s">
        <v>21</v>
      </c>
      <c r="AN15" s="104">
        <f>ATAN($BK$20*$BM$23)*$BJ$9</f>
        <v>26.56505117707799</v>
      </c>
      <c r="AO15" s="106" t="s">
        <v>132</v>
      </c>
      <c r="AP15" s="104">
        <f>90-$AN$15</f>
        <v>63.43494882292201</v>
      </c>
      <c r="AQ15" s="103"/>
      <c r="AR15" s="103"/>
      <c r="AS15" s="104" t="s">
        <v>21</v>
      </c>
      <c r="AT15" s="102">
        <f t="shared" si="6"/>
        <v>5.999999999989999</v>
      </c>
      <c r="AU15" s="108">
        <f t="shared" si="6"/>
        <v>5.999999999989999</v>
      </c>
      <c r="AV15" s="102">
        <f t="shared" si="7"/>
        <v>23.999999999989992</v>
      </c>
      <c r="AW15" s="108">
        <f t="shared" si="7"/>
        <v>23.999999999989992</v>
      </c>
      <c r="AX15" s="102"/>
      <c r="AY15" s="106" t="s">
        <v>21</v>
      </c>
      <c r="AZ15" s="102">
        <f t="shared" si="8"/>
        <v>5.999999999989999</v>
      </c>
      <c r="BA15" s="108">
        <f t="shared" si="8"/>
        <v>5.999999999989999</v>
      </c>
      <c r="BB15" s="102">
        <f t="shared" si="9"/>
        <v>23.999999999989992</v>
      </c>
      <c r="BC15" s="108">
        <f t="shared" si="9"/>
        <v>23.999999999989992</v>
      </c>
      <c r="BD15" s="103"/>
      <c r="BE15" s="103"/>
      <c r="BF15" s="112"/>
      <c r="BG15" s="103"/>
      <c r="BH15" s="103"/>
      <c r="BI15" s="160"/>
      <c r="BJ15" s="160"/>
      <c r="BK15" s="160"/>
      <c r="BL15" s="160"/>
      <c r="BM15" s="160"/>
      <c r="BN15" s="160"/>
      <c r="BO15" s="160"/>
      <c r="BP15" s="159"/>
    </row>
    <row r="16" spans="2:68" ht="12.75">
      <c r="B16" s="25"/>
      <c r="C16" s="32"/>
      <c r="D16" s="2"/>
      <c r="E16" s="2"/>
      <c r="F16" s="2"/>
      <c r="G16" s="2"/>
      <c r="H16" s="52"/>
      <c r="I16" s="52"/>
      <c r="J16" s="52"/>
      <c r="K16" s="64" t="str">
        <f>IF(LEFT($AK$52)="t",$AB$50," ")</f>
        <v> </v>
      </c>
      <c r="L16" s="66" t="str">
        <f>IF(LEFT($AK$52)="t",$AC$50," ")</f>
        <v> </v>
      </c>
      <c r="M16" s="10"/>
      <c r="O16" s="81"/>
      <c r="P16" s="1"/>
      <c r="V16" s="103"/>
      <c r="W16" s="103"/>
      <c r="X16" s="103"/>
      <c r="Y16" s="103"/>
      <c r="Z16" s="103"/>
      <c r="AA16" s="103"/>
      <c r="AB16" s="160" t="str">
        <f t="shared" si="0"/>
        <v>A5B</v>
      </c>
      <c r="AC16" s="160">
        <f t="shared" si="1"/>
        <v>24.094842552110702</v>
      </c>
      <c r="AD16" s="108">
        <f t="shared" si="2"/>
        <v>5.366563145989495</v>
      </c>
      <c r="AE16" s="160" t="str">
        <f t="shared" si="3"/>
        <v>90-A5B</v>
      </c>
      <c r="AF16" s="160">
        <f t="shared" si="4"/>
        <v>65.9051574478893</v>
      </c>
      <c r="AG16" s="108">
        <f t="shared" si="5"/>
        <v>26.832815729987466</v>
      </c>
      <c r="AH16" s="160"/>
      <c r="AI16" s="104" t="s">
        <v>22</v>
      </c>
      <c r="AJ16" s="104">
        <f>ASIN($BK$19*$BK$23)*$BJ$9</f>
        <v>24.094842552110702</v>
      </c>
      <c r="AK16" s="104" t="s">
        <v>133</v>
      </c>
      <c r="AL16" s="104">
        <f>90-$AJ$16</f>
        <v>65.9051574478893</v>
      </c>
      <c r="AM16" s="106" t="s">
        <v>22</v>
      </c>
      <c r="AN16" s="104">
        <f>ASIN($BK$20*$BK$23)*$BJ$9</f>
        <v>24.094842552110702</v>
      </c>
      <c r="AO16" s="106" t="s">
        <v>133</v>
      </c>
      <c r="AP16" s="104">
        <f>90-$AN$16</f>
        <v>65.9051574478893</v>
      </c>
      <c r="AQ16" s="103"/>
      <c r="AR16" s="103"/>
      <c r="AS16" s="104" t="s">
        <v>22</v>
      </c>
      <c r="AT16" s="102">
        <f t="shared" si="6"/>
        <v>5.366563145989495</v>
      </c>
      <c r="AU16" s="108">
        <f t="shared" si="6"/>
        <v>5.366563145989495</v>
      </c>
      <c r="AV16" s="102">
        <f t="shared" si="7"/>
        <v>26.832815729987466</v>
      </c>
      <c r="AW16" s="108">
        <f t="shared" si="7"/>
        <v>26.832815729987466</v>
      </c>
      <c r="AX16" s="102"/>
      <c r="AY16" s="106" t="s">
        <v>22</v>
      </c>
      <c r="AZ16" s="102">
        <f t="shared" si="8"/>
        <v>5.366563145989495</v>
      </c>
      <c r="BA16" s="108">
        <f t="shared" si="8"/>
        <v>5.366563145989495</v>
      </c>
      <c r="BB16" s="102">
        <f t="shared" si="9"/>
        <v>26.832815729987466</v>
      </c>
      <c r="BC16" s="108">
        <f t="shared" si="9"/>
        <v>26.832815729987466</v>
      </c>
      <c r="BD16" s="103"/>
      <c r="BE16" s="103"/>
      <c r="BF16" s="103"/>
      <c r="BG16" s="103"/>
      <c r="BH16" s="103"/>
      <c r="BI16" s="176"/>
      <c r="BJ16" s="160"/>
      <c r="BK16" s="113" t="s">
        <v>83</v>
      </c>
      <c r="BL16" s="160"/>
      <c r="BM16" s="160"/>
      <c r="BN16" s="160"/>
      <c r="BO16" s="160"/>
      <c r="BP16" s="159"/>
    </row>
    <row r="17" spans="2:68" ht="12.75">
      <c r="B17" s="25"/>
      <c r="C17" s="32"/>
      <c r="D17" s="91" t="str">
        <f>$AK$85</f>
        <v>COMMON RAFTER meets HIP / VALLEY</v>
      </c>
      <c r="E17" s="16"/>
      <c r="F17" s="16"/>
      <c r="G17" s="16"/>
      <c r="H17" s="52"/>
      <c r="I17" s="91" t="str">
        <f>$AK$87</f>
        <v>HIP / VALLEY</v>
      </c>
      <c r="J17" s="16"/>
      <c r="K17" s="18"/>
      <c r="L17" s="54"/>
      <c r="M17" s="10"/>
      <c r="O17" s="80"/>
      <c r="P17" s="79"/>
      <c r="Q17" s="89"/>
      <c r="V17" s="103"/>
      <c r="W17" s="103"/>
      <c r="X17" s="103"/>
      <c r="Y17" s="103"/>
      <c r="Z17" s="103"/>
      <c r="AA17" s="103"/>
      <c r="AB17" s="160" t="str">
        <f t="shared" si="0"/>
        <v>A5P</v>
      </c>
      <c r="AC17" s="160">
        <f t="shared" si="1"/>
        <v>24.094842552110705</v>
      </c>
      <c r="AD17" s="108">
        <f t="shared" si="2"/>
        <v>5.366563145989496</v>
      </c>
      <c r="AE17" s="160" t="str">
        <f t="shared" si="3"/>
        <v>90-A5P</v>
      </c>
      <c r="AF17" s="160">
        <f t="shared" si="4"/>
        <v>65.9051574478893</v>
      </c>
      <c r="AG17" s="108">
        <f t="shared" si="5"/>
        <v>26.832815729987466</v>
      </c>
      <c r="AH17" s="160"/>
      <c r="AI17" s="104" t="s">
        <v>23</v>
      </c>
      <c r="AJ17" s="104">
        <f>ASIN($BL$19*$BK$23)*$BJ$9</f>
        <v>24.094842552110705</v>
      </c>
      <c r="AK17" s="104" t="s">
        <v>134</v>
      </c>
      <c r="AL17" s="104">
        <f>90-$AJ$17</f>
        <v>65.9051574478893</v>
      </c>
      <c r="AM17" s="106" t="s">
        <v>23</v>
      </c>
      <c r="AN17" s="104">
        <f>ASIN($BL$20*$BK$23)*$BJ$9</f>
        <v>24.094842552110705</v>
      </c>
      <c r="AO17" s="106" t="s">
        <v>134</v>
      </c>
      <c r="AP17" s="104">
        <f>90-$AN$17</f>
        <v>65.9051574478893</v>
      </c>
      <c r="AQ17" s="103"/>
      <c r="AR17" s="103"/>
      <c r="AS17" s="104" t="s">
        <v>23</v>
      </c>
      <c r="AT17" s="102">
        <f t="shared" si="6"/>
        <v>5.366563145989496</v>
      </c>
      <c r="AU17" s="108">
        <f t="shared" si="6"/>
        <v>5.366563145989496</v>
      </c>
      <c r="AV17" s="102">
        <f t="shared" si="7"/>
        <v>26.832815729987466</v>
      </c>
      <c r="AW17" s="108">
        <f t="shared" si="7"/>
        <v>26.832815729987466</v>
      </c>
      <c r="AX17" s="102"/>
      <c r="AY17" s="106" t="s">
        <v>23</v>
      </c>
      <c r="AZ17" s="102">
        <f t="shared" si="8"/>
        <v>5.366563145989496</v>
      </c>
      <c r="BA17" s="108">
        <f t="shared" si="8"/>
        <v>5.366563145989496</v>
      </c>
      <c r="BB17" s="102">
        <f t="shared" si="9"/>
        <v>26.832815729987466</v>
      </c>
      <c r="BC17" s="108">
        <f t="shared" si="9"/>
        <v>26.832815729987466</v>
      </c>
      <c r="BD17" s="103"/>
      <c r="BE17" s="103"/>
      <c r="BF17" s="103"/>
      <c r="BG17" s="103"/>
      <c r="BH17" s="103"/>
      <c r="BI17" s="176"/>
      <c r="BJ17" s="160"/>
      <c r="BK17" s="160"/>
      <c r="BL17" s="160"/>
      <c r="BM17" s="160"/>
      <c r="BN17" s="160"/>
      <c r="BO17" s="160"/>
      <c r="BP17" s="159"/>
    </row>
    <row r="18" spans="2:68" ht="12.75">
      <c r="B18" s="25"/>
      <c r="C18" s="85" t="str">
        <f aca="true" t="shared" si="10" ref="C18:C27">$AI$67</f>
        <v> </v>
      </c>
      <c r="D18" s="27" t="str">
        <f>IF(LEFT($G$14)="Y",$AE$7,$AB$7)</f>
        <v>DD</v>
      </c>
      <c r="E18" s="88">
        <f>IF(LEFT($G$14)="Y",$AF$7,$AC$7)</f>
        <v>45</v>
      </c>
      <c r="F18" s="19">
        <f>IF(LEFT($G$14)="Y",$AG$7,$AD$7)</f>
        <v>11.999999999989999</v>
      </c>
      <c r="G18" s="86" t="str">
        <f>$AJ$67</f>
        <v> </v>
      </c>
      <c r="H18" s="2"/>
      <c r="I18" s="27" t="str">
        <f>IF(LEFT($G$14)="Y",$AE$12,$AB$12)</f>
        <v>R4B</v>
      </c>
      <c r="J18" s="65">
        <f>IF(LEFT($G$14)="Y",$AF$12,$AC$12)</f>
        <v>39.23152048359226</v>
      </c>
      <c r="K18" s="19">
        <f>IF(LEFT($G$14)="Y",$AG$12,$AD$12)</f>
        <v>9.797958971122716</v>
      </c>
      <c r="L18" s="87" t="str">
        <f aca="true" t="shared" si="11" ref="L18:L23">$AL$67</f>
        <v> </v>
      </c>
      <c r="M18" s="10"/>
      <c r="O18" s="80"/>
      <c r="P18" s="79"/>
      <c r="V18" s="103"/>
      <c r="W18" s="103"/>
      <c r="X18" s="103"/>
      <c r="Y18" s="103"/>
      <c r="Z18" s="103"/>
      <c r="AA18" s="103"/>
      <c r="AB18" s="160" t="str">
        <f t="shared" si="0"/>
        <v>P6</v>
      </c>
      <c r="AC18" s="160">
        <f t="shared" si="1"/>
        <v>18.434948822922017</v>
      </c>
      <c r="AD18" s="108">
        <f t="shared" si="2"/>
        <v>3.999999999990001</v>
      </c>
      <c r="AE18" s="160" t="str">
        <f t="shared" si="3"/>
        <v>90-P6</v>
      </c>
      <c r="AF18" s="160">
        <f t="shared" si="4"/>
        <v>71.56505117707798</v>
      </c>
      <c r="AG18" s="108">
        <f t="shared" si="5"/>
        <v>35.999999999989974</v>
      </c>
      <c r="AH18" s="160"/>
      <c r="AI18" s="104" t="s">
        <v>24</v>
      </c>
      <c r="AJ18" s="104">
        <f>ATAN($BM$26*$BK$24)*$BJ$9</f>
        <v>18.434948822922017</v>
      </c>
      <c r="AK18" s="104" t="s">
        <v>135</v>
      </c>
      <c r="AL18" s="104">
        <f>90-$AJ$18</f>
        <v>71.56505117707798</v>
      </c>
      <c r="AM18" s="106" t="s">
        <v>24</v>
      </c>
      <c r="AN18" s="104">
        <f>ATAN($BM$27*$BK$25)*$BJ$9</f>
        <v>18.434948822922017</v>
      </c>
      <c r="AO18" s="106" t="s">
        <v>135</v>
      </c>
      <c r="AP18" s="104">
        <f>90-$AN$18</f>
        <v>71.56505117707798</v>
      </c>
      <c r="AQ18" s="103"/>
      <c r="AR18" s="103"/>
      <c r="AS18" s="104" t="s">
        <v>24</v>
      </c>
      <c r="AT18" s="102">
        <f t="shared" si="6"/>
        <v>3.999999999990001</v>
      </c>
      <c r="AU18" s="108">
        <f t="shared" si="6"/>
        <v>3.999999999990001</v>
      </c>
      <c r="AV18" s="102">
        <f t="shared" si="7"/>
        <v>35.999999999989974</v>
      </c>
      <c r="AW18" s="108">
        <f t="shared" si="7"/>
        <v>35.999999999989974</v>
      </c>
      <c r="AX18" s="102"/>
      <c r="AY18" s="106" t="s">
        <v>24</v>
      </c>
      <c r="AZ18" s="102">
        <f t="shared" si="8"/>
        <v>3.999999999990001</v>
      </c>
      <c r="BA18" s="108">
        <f t="shared" si="8"/>
        <v>3.999999999990001</v>
      </c>
      <c r="BB18" s="102">
        <f t="shared" si="9"/>
        <v>35.999999999989974</v>
      </c>
      <c r="BC18" s="108">
        <f t="shared" si="9"/>
        <v>35.999999999989974</v>
      </c>
      <c r="BD18" s="103"/>
      <c r="BE18" s="103"/>
      <c r="BF18" s="103"/>
      <c r="BG18" s="103"/>
      <c r="BH18" s="103"/>
      <c r="BI18" s="176"/>
      <c r="BJ18" s="160"/>
      <c r="BK18" s="160" t="s">
        <v>60</v>
      </c>
      <c r="BL18" s="160" t="s">
        <v>61</v>
      </c>
      <c r="BM18" s="160" t="s">
        <v>62</v>
      </c>
      <c r="BN18" s="160"/>
      <c r="BO18" s="160"/>
      <c r="BP18" s="159"/>
    </row>
    <row r="19" spans="2:68" ht="12.75">
      <c r="B19" s="25"/>
      <c r="C19" s="85" t="str">
        <f t="shared" si="10"/>
        <v> </v>
      </c>
      <c r="D19" s="27" t="str">
        <f>IF(LEFT($G$14)="Y",$AE$8,$AB$8)</f>
        <v>SS</v>
      </c>
      <c r="E19" s="88">
        <f>IF(LEFT($G$14)="Y",$AF$8,$AC$8)</f>
        <v>45</v>
      </c>
      <c r="F19" s="19">
        <f>IF(LEFT($G$14)="Y",$AG$8,$AD$8)</f>
        <v>11.999999999989999</v>
      </c>
      <c r="G19" s="86" t="str">
        <f>$AJ$68</f>
        <v> </v>
      </c>
      <c r="H19" s="2"/>
      <c r="I19" s="27" t="str">
        <f>IF(LEFT($G$14)="Y",$AE$13,$AB$13)</f>
        <v>R4P</v>
      </c>
      <c r="J19" s="65">
        <f>IF(LEFT($G$14)="Y",$AF$13,$AC$13)</f>
        <v>39.23152048359226</v>
      </c>
      <c r="K19" s="19">
        <f>IF(LEFT($G$14)="Y",$AG$13,$AD$13)</f>
        <v>9.797958971122716</v>
      </c>
      <c r="L19" s="87" t="str">
        <f t="shared" si="11"/>
        <v> </v>
      </c>
      <c r="M19" s="10"/>
      <c r="O19" s="80"/>
      <c r="P19" s="79"/>
      <c r="V19" s="103"/>
      <c r="W19" s="103"/>
      <c r="X19" s="103"/>
      <c r="Y19" s="103"/>
      <c r="Z19" s="103"/>
      <c r="AA19" s="103"/>
      <c r="AB19" s="160" t="str">
        <f t="shared" si="0"/>
        <v>(R6B)</v>
      </c>
      <c r="AC19" s="160">
        <f t="shared" si="1"/>
        <v>15.793169048263966</v>
      </c>
      <c r="AD19" s="108">
        <f t="shared" si="2"/>
        <v>3.3941125496854285</v>
      </c>
      <c r="AE19" s="160" t="str">
        <f t="shared" si="3"/>
        <v>90-(R6B)</v>
      </c>
      <c r="AF19" s="160">
        <f t="shared" si="4"/>
        <v>74.20683095173604</v>
      </c>
      <c r="AG19" s="108">
        <f t="shared" si="5"/>
        <v>42.426406871182856</v>
      </c>
      <c r="AH19" s="160"/>
      <c r="AI19" s="104" t="s">
        <v>82</v>
      </c>
      <c r="AJ19" s="104">
        <f>ATAN($BK$44*$BK$42)*$BJ$9</f>
        <v>15.793169048263966</v>
      </c>
      <c r="AK19" s="104" t="s">
        <v>136</v>
      </c>
      <c r="AL19" s="104">
        <f>90-$AJ$19</f>
        <v>74.20683095173604</v>
      </c>
      <c r="AM19" s="106" t="s">
        <v>82</v>
      </c>
      <c r="AN19" s="104">
        <f>ATAN($BL$44*$BL$42)*$BJ$9</f>
        <v>15.793169048263966</v>
      </c>
      <c r="AO19" s="106" t="s">
        <v>136</v>
      </c>
      <c r="AP19" s="104">
        <f>90-$AN$19</f>
        <v>74.20683095173604</v>
      </c>
      <c r="AQ19" s="103"/>
      <c r="AR19" s="103"/>
      <c r="AS19" s="104" t="s">
        <v>82</v>
      </c>
      <c r="AT19" s="102">
        <f t="shared" si="6"/>
        <v>3.3941125496854285</v>
      </c>
      <c r="AU19" s="108">
        <f t="shared" si="6"/>
        <v>3.3941125496854285</v>
      </c>
      <c r="AV19" s="102">
        <f t="shared" si="7"/>
        <v>42.426406871182856</v>
      </c>
      <c r="AW19" s="108">
        <f t="shared" si="7"/>
        <v>42.426406871182856</v>
      </c>
      <c r="AX19" s="102"/>
      <c r="AY19" s="106" t="s">
        <v>82</v>
      </c>
      <c r="AZ19" s="102">
        <f t="shared" si="8"/>
        <v>3.3941125496854285</v>
      </c>
      <c r="BA19" s="108">
        <f t="shared" si="8"/>
        <v>3.3941125496854285</v>
      </c>
      <c r="BB19" s="102">
        <f t="shared" si="9"/>
        <v>42.426406871182856</v>
      </c>
      <c r="BC19" s="108">
        <f t="shared" si="9"/>
        <v>42.426406871182856</v>
      </c>
      <c r="BD19" s="103"/>
      <c r="BE19" s="103"/>
      <c r="BF19" s="103"/>
      <c r="BG19" s="103"/>
      <c r="BH19" s="103"/>
      <c r="BI19" s="176"/>
      <c r="BJ19" s="160" t="s">
        <v>2</v>
      </c>
      <c r="BK19" s="160">
        <f>SIN($AJ$7*$BJ$8)</f>
        <v>0.7071067811865475</v>
      </c>
      <c r="BL19" s="160">
        <f>COS($AJ$7*$BJ$8)</f>
        <v>0.7071067811865476</v>
      </c>
      <c r="BM19" s="160">
        <f>$BK$12/($BK$10+$BK$13)</f>
        <v>1</v>
      </c>
      <c r="BN19" s="160"/>
      <c r="BO19" s="160"/>
      <c r="BP19" s="159"/>
    </row>
    <row r="20" spans="2:68" ht="12.75">
      <c r="B20" s="25"/>
      <c r="C20" s="85" t="str">
        <f t="shared" si="10"/>
        <v> </v>
      </c>
      <c r="D20" s="27" t="str">
        <f>IF(LEFT($G$14)="Y",$AE$9,$AB$9)</f>
        <v>R1</v>
      </c>
      <c r="E20" s="88">
        <f>IF(LEFT($G$14)="Y",$AF$9,$AC$9)</f>
        <v>35.264389682754654</v>
      </c>
      <c r="F20" s="19">
        <f>IF(LEFT($G$14)="Y",$AG$9,$AD$9)</f>
        <v>8.485281374228572</v>
      </c>
      <c r="G20" s="86" t="str">
        <f>$AJ$69</f>
        <v> </v>
      </c>
      <c r="H20" s="2"/>
      <c r="I20" s="27" t="str">
        <f>IF(LEFT($G$14)="Y",$AE$14,$AB$14)</f>
        <v>R5B</v>
      </c>
      <c r="J20" s="65">
        <f>IF(LEFT($G$14)="Y",$AF$14,$AC$14)</f>
        <v>26.565051177077994</v>
      </c>
      <c r="K20" s="19">
        <f>IF(LEFT($G$14)="Y",$AG$14,$AD$14)</f>
        <v>5.999999999990002</v>
      </c>
      <c r="L20" s="87" t="str">
        <f t="shared" si="11"/>
        <v> </v>
      </c>
      <c r="M20" s="10"/>
      <c r="O20" s="80"/>
      <c r="P20" s="1"/>
      <c r="V20" s="103"/>
      <c r="W20" s="103"/>
      <c r="X20" s="103"/>
      <c r="Y20" s="103"/>
      <c r="Z20" s="103"/>
      <c r="AA20" s="103"/>
      <c r="AB20" s="160" t="str">
        <f t="shared" si="0"/>
        <v>R6P</v>
      </c>
      <c r="AC20" s="160">
        <f t="shared" si="1"/>
        <v>15.79316904826397</v>
      </c>
      <c r="AD20" s="108">
        <f t="shared" si="2"/>
        <v>3.3941125496854294</v>
      </c>
      <c r="AE20" s="160" t="str">
        <f t="shared" si="3"/>
        <v>90-R6P</v>
      </c>
      <c r="AF20" s="160">
        <f t="shared" si="4"/>
        <v>74.20683095173604</v>
      </c>
      <c r="AG20" s="108">
        <f t="shared" si="5"/>
        <v>42.426406871182856</v>
      </c>
      <c r="AH20" s="160"/>
      <c r="AI20" s="104" t="s">
        <v>25</v>
      </c>
      <c r="AJ20" s="104">
        <f>ATAN($BK$45*$BK$43)*$BJ$9</f>
        <v>15.79316904826397</v>
      </c>
      <c r="AK20" s="104" t="s">
        <v>137</v>
      </c>
      <c r="AL20" s="104">
        <f>90-$AJ$20</f>
        <v>74.20683095173604</v>
      </c>
      <c r="AM20" s="106" t="s">
        <v>25</v>
      </c>
      <c r="AN20" s="104">
        <f>ATAN($BL$45*$BL$43)*$BJ$9</f>
        <v>15.79316904826397</v>
      </c>
      <c r="AO20" s="106" t="s">
        <v>137</v>
      </c>
      <c r="AP20" s="104">
        <f>90-$AN$20</f>
        <v>74.20683095173604</v>
      </c>
      <c r="AQ20" s="103"/>
      <c r="AR20" s="103"/>
      <c r="AS20" s="104" t="s">
        <v>25</v>
      </c>
      <c r="AT20" s="102">
        <f t="shared" si="6"/>
        <v>3.3941125496854294</v>
      </c>
      <c r="AU20" s="108">
        <f t="shared" si="6"/>
        <v>3.3941125496854294</v>
      </c>
      <c r="AV20" s="102">
        <f t="shared" si="7"/>
        <v>42.426406871182856</v>
      </c>
      <c r="AW20" s="108">
        <f t="shared" si="7"/>
        <v>42.426406871182856</v>
      </c>
      <c r="AX20" s="102"/>
      <c r="AY20" s="106" t="s">
        <v>25</v>
      </c>
      <c r="AZ20" s="102">
        <f t="shared" si="8"/>
        <v>3.3941125496854294</v>
      </c>
      <c r="BA20" s="108">
        <f t="shared" si="8"/>
        <v>3.3941125496854294</v>
      </c>
      <c r="BB20" s="102">
        <f t="shared" si="9"/>
        <v>42.426406871182856</v>
      </c>
      <c r="BC20" s="108">
        <f t="shared" si="9"/>
        <v>42.426406871182856</v>
      </c>
      <c r="BD20" s="103"/>
      <c r="BE20" s="103"/>
      <c r="BF20" s="103"/>
      <c r="BG20" s="103"/>
      <c r="BH20" s="103"/>
      <c r="BI20" s="176"/>
      <c r="BJ20" s="160" t="s">
        <v>3</v>
      </c>
      <c r="BK20" s="160">
        <f>SIN($AN$7*$BJ$8)</f>
        <v>0.7071067811865475</v>
      </c>
      <c r="BL20" s="160">
        <f>COS($AN$7*$BJ$8)</f>
        <v>0.7071067811865476</v>
      </c>
      <c r="BM20" s="160">
        <f>$BK$12/($BK$11+$BK$13)</f>
        <v>1</v>
      </c>
      <c r="BN20" s="160"/>
      <c r="BO20" s="160"/>
      <c r="BP20" s="159"/>
    </row>
    <row r="21" spans="2:68" ht="12.75">
      <c r="B21" s="25"/>
      <c r="C21" s="85" t="str">
        <f t="shared" si="10"/>
        <v> </v>
      </c>
      <c r="D21" s="27" t="str">
        <f>IF(LEFT($G$14)="Y",$AE$10,$AB$10)</f>
        <v>P2</v>
      </c>
      <c r="E21" s="88">
        <f>IF(LEFT($G$14)="Y",$AF$10,$AC$10)</f>
        <v>35.26438968275466</v>
      </c>
      <c r="F21" s="19">
        <f>IF(LEFT($G$14)="Y",$AG$10,$AD$10)</f>
        <v>8.485281374228572</v>
      </c>
      <c r="G21" s="86" t="str">
        <f>$AJ$70</f>
        <v> </v>
      </c>
      <c r="H21" s="2"/>
      <c r="I21" s="27" t="str">
        <f>IF(LEFT($G$14)="Y",$AE$15,$AB$15)</f>
        <v>R5P</v>
      </c>
      <c r="J21" s="65">
        <f>IF(LEFT($G$14)="Y",$AF$15,$AC$15)</f>
        <v>26.56505117707799</v>
      </c>
      <c r="K21" s="19">
        <f>IF(LEFT($G$14)="Y",$AG$15,$AD$15)</f>
        <v>5.999999999989999</v>
      </c>
      <c r="L21" s="87" t="str">
        <f t="shared" si="11"/>
        <v> </v>
      </c>
      <c r="M21" s="10"/>
      <c r="O21" s="1"/>
      <c r="P21" s="1"/>
      <c r="V21" s="103"/>
      <c r="W21" s="103"/>
      <c r="X21" s="103"/>
      <c r="Y21" s="103"/>
      <c r="Z21" s="103"/>
      <c r="AA21" s="103"/>
      <c r="AB21" s="160" t="str">
        <f t="shared" si="0"/>
        <v>P1</v>
      </c>
      <c r="AC21" s="160">
        <f t="shared" si="1"/>
        <v>35.264389682754654</v>
      </c>
      <c r="AD21" s="108">
        <f t="shared" si="2"/>
        <v>8.485281374228572</v>
      </c>
      <c r="AE21" s="160" t="str">
        <f t="shared" si="3"/>
        <v>90-P1</v>
      </c>
      <c r="AF21" s="160">
        <f t="shared" si="4"/>
        <v>54.735610317245346</v>
      </c>
      <c r="AG21" s="108">
        <f t="shared" si="5"/>
        <v>16.97056274846714</v>
      </c>
      <c r="AH21" s="160"/>
      <c r="AI21" s="104" t="s">
        <v>26</v>
      </c>
      <c r="AJ21" s="104">
        <f>ATAN($BK$21/$BM$19)*$BJ$9</f>
        <v>35.264389682754654</v>
      </c>
      <c r="AK21" s="104" t="s">
        <v>138</v>
      </c>
      <c r="AL21" s="104">
        <f>90-$AJ$21</f>
        <v>54.735610317245346</v>
      </c>
      <c r="AM21" s="106" t="s">
        <v>26</v>
      </c>
      <c r="AN21" s="104">
        <f>ATAN($BK$22/$BM$20)*$BJ$9</f>
        <v>35.264389682754654</v>
      </c>
      <c r="AO21" s="106" t="s">
        <v>138</v>
      </c>
      <c r="AP21" s="104">
        <f>90-$AN$21</f>
        <v>54.735610317245346</v>
      </c>
      <c r="AQ21" s="103"/>
      <c r="AR21" s="103"/>
      <c r="AS21" s="104" t="s">
        <v>26</v>
      </c>
      <c r="AT21" s="102">
        <f t="shared" si="6"/>
        <v>8.485281374228572</v>
      </c>
      <c r="AU21" s="108">
        <f t="shared" si="6"/>
        <v>8.485281374228572</v>
      </c>
      <c r="AV21" s="102">
        <f t="shared" si="7"/>
        <v>16.97056274846714</v>
      </c>
      <c r="AW21" s="108">
        <f t="shared" si="7"/>
        <v>16.97056274846714</v>
      </c>
      <c r="AX21" s="102"/>
      <c r="AY21" s="106" t="s">
        <v>26</v>
      </c>
      <c r="AZ21" s="102">
        <f t="shared" si="8"/>
        <v>8.485281374228572</v>
      </c>
      <c r="BA21" s="108">
        <f t="shared" si="8"/>
        <v>8.485281374228572</v>
      </c>
      <c r="BB21" s="102">
        <f t="shared" si="9"/>
        <v>16.97056274846714</v>
      </c>
      <c r="BC21" s="108">
        <f t="shared" si="9"/>
        <v>16.97056274846714</v>
      </c>
      <c r="BD21" s="103"/>
      <c r="BE21" s="103"/>
      <c r="BF21" s="103"/>
      <c r="BG21" s="103"/>
      <c r="BH21" s="103"/>
      <c r="BI21" s="176"/>
      <c r="BJ21" s="160" t="s">
        <v>4</v>
      </c>
      <c r="BK21" s="160">
        <f>SIN($AJ$8*$BJ$8)</f>
        <v>0.7071067811865475</v>
      </c>
      <c r="BL21" s="160">
        <f>COS($AJ$8*$BJ$8)</f>
        <v>0.7071067811865476</v>
      </c>
      <c r="BM21" s="178">
        <f>IF(LEFT($G$7)="Y",TAN(RADIANS($G$9)),$G$9/$H$9)</f>
        <v>1</v>
      </c>
      <c r="BN21" s="160"/>
      <c r="BO21" s="160"/>
      <c r="BP21" s="159"/>
    </row>
    <row r="22" spans="2:68" ht="12.75">
      <c r="B22" s="25"/>
      <c r="C22" s="85" t="str">
        <f t="shared" si="10"/>
        <v> </v>
      </c>
      <c r="D22" s="27" t="str">
        <f>IF(LEFT($G$14)="Y",$AE$11,$AB$11)</f>
        <v>C5</v>
      </c>
      <c r="E22" s="88">
        <f>IF(LEFT($G$14)="Y",$AF$11,$AC$11)</f>
        <v>30.000000000000004</v>
      </c>
      <c r="F22" s="19">
        <f>IF(LEFT($G$14)="Y",$AG$11,$AD$11)</f>
        <v>6.9282032302655105</v>
      </c>
      <c r="G22" s="86" t="str">
        <f>$AJ$71</f>
        <v> </v>
      </c>
      <c r="H22" s="2"/>
      <c r="I22" s="27" t="str">
        <f>IF(LEFT($G$14)="Y",$AE$16,$AB$16)</f>
        <v>A5B</v>
      </c>
      <c r="J22" s="65">
        <f>IF(LEFT($G$14)="Y",$AF$16,$AC$16)</f>
        <v>24.094842552110702</v>
      </c>
      <c r="K22" s="19">
        <f>IF(LEFT($G$14)="Y",$AG$16,$AD$16)</f>
        <v>5.366563145989495</v>
      </c>
      <c r="L22" s="87" t="str">
        <f t="shared" si="11"/>
        <v> </v>
      </c>
      <c r="M22" s="10"/>
      <c r="O22" s="1"/>
      <c r="P22" s="1"/>
      <c r="V22" s="103"/>
      <c r="W22" s="103"/>
      <c r="X22" s="103"/>
      <c r="Y22" s="103"/>
      <c r="Z22" s="103"/>
      <c r="AA22" s="103"/>
      <c r="AB22" s="160" t="str">
        <f t="shared" si="0"/>
        <v>R2</v>
      </c>
      <c r="AC22" s="160">
        <f t="shared" si="1"/>
        <v>19.471220634490695</v>
      </c>
      <c r="AD22" s="108">
        <f t="shared" si="2"/>
        <v>4.242640687109286</v>
      </c>
      <c r="AE22" s="160" t="str">
        <f t="shared" si="3"/>
        <v>90-R2</v>
      </c>
      <c r="AF22" s="160">
        <f t="shared" si="4"/>
        <v>70.52877936550931</v>
      </c>
      <c r="AG22" s="108">
        <f t="shared" si="5"/>
        <v>33.94112549694429</v>
      </c>
      <c r="AH22" s="160"/>
      <c r="AI22" s="104" t="s">
        <v>27</v>
      </c>
      <c r="AJ22" s="104">
        <f>ATAN($BK$26*$BM$24)*$BJ$9</f>
        <v>19.471220634490695</v>
      </c>
      <c r="AK22" s="104" t="s">
        <v>139</v>
      </c>
      <c r="AL22" s="104">
        <f>90-$AJ$22</f>
        <v>70.52877936550931</v>
      </c>
      <c r="AM22" s="106" t="s">
        <v>27</v>
      </c>
      <c r="AN22" s="104">
        <f>ATAN($BK$27*$BM$25)*$BJ$9</f>
        <v>19.471220634490695</v>
      </c>
      <c r="AO22" s="106" t="s">
        <v>139</v>
      </c>
      <c r="AP22" s="104">
        <f>90-$AN$22</f>
        <v>70.52877936550931</v>
      </c>
      <c r="AQ22" s="103"/>
      <c r="AR22" s="103"/>
      <c r="AS22" s="104" t="s">
        <v>27</v>
      </c>
      <c r="AT22" s="102">
        <f t="shared" si="6"/>
        <v>4.242640687109286</v>
      </c>
      <c r="AU22" s="108">
        <f t="shared" si="6"/>
        <v>4.242640687109286</v>
      </c>
      <c r="AV22" s="102">
        <f t="shared" si="7"/>
        <v>33.94112549694429</v>
      </c>
      <c r="AW22" s="108">
        <f t="shared" si="7"/>
        <v>33.94112549694429</v>
      </c>
      <c r="AX22" s="102"/>
      <c r="AY22" s="106" t="s">
        <v>27</v>
      </c>
      <c r="AZ22" s="102">
        <f t="shared" si="8"/>
        <v>4.242640687109286</v>
      </c>
      <c r="BA22" s="108">
        <f t="shared" si="8"/>
        <v>4.242640687109286</v>
      </c>
      <c r="BB22" s="102">
        <f t="shared" si="9"/>
        <v>33.94112549694429</v>
      </c>
      <c r="BC22" s="108">
        <f t="shared" si="9"/>
        <v>33.94112549694429</v>
      </c>
      <c r="BD22" s="103"/>
      <c r="BE22" s="103"/>
      <c r="BF22" s="103"/>
      <c r="BG22" s="103"/>
      <c r="BH22" s="103"/>
      <c r="BI22" s="176"/>
      <c r="BJ22" s="160" t="s">
        <v>5</v>
      </c>
      <c r="BK22" s="160">
        <f>SIN($AN$8*$BJ$8)</f>
        <v>0.7071067811865475</v>
      </c>
      <c r="BL22" s="160">
        <f>COS($AN$8*$BJ$8)</f>
        <v>0.7071067811865476</v>
      </c>
      <c r="BM22" s="178">
        <f>IF(LEFT($G$7)="Y",TAN(RADIANS($G$10)),$G$10/$H$10)</f>
        <v>1</v>
      </c>
      <c r="BN22" s="160"/>
      <c r="BO22" s="160"/>
      <c r="BP22" s="159"/>
    </row>
    <row r="23" spans="2:68" ht="12.75">
      <c r="B23" s="25"/>
      <c r="C23" s="85" t="str">
        <f t="shared" si="10"/>
        <v> </v>
      </c>
      <c r="D23" s="27" t="str">
        <f>IF(LEFT($G$14)="Y",$AE$34,$AB$34)</f>
        <v>A7</v>
      </c>
      <c r="E23" s="88">
        <f>IF(LEFT($G$14)="Y",$AF$34,$AC$34)</f>
        <v>35.264389682754654</v>
      </c>
      <c r="F23" s="19">
        <f>IF(LEFT($G$14)="Y",$AG$34,$AD$34)</f>
        <v>8.485281374228572</v>
      </c>
      <c r="G23" s="86" t="str">
        <f>$AJ$72</f>
        <v> </v>
      </c>
      <c r="H23" s="2"/>
      <c r="I23" s="27" t="str">
        <f>IF(LEFT($G$14)="Y",$AE$17,$AB$17)</f>
        <v>A5P</v>
      </c>
      <c r="J23" s="65">
        <f>IF(LEFT($G$14)="Y",$AF$17,$AC$17)</f>
        <v>24.094842552110705</v>
      </c>
      <c r="K23" s="19">
        <f>IF(LEFT($G$14)="Y",$AG$17,$AD$17)</f>
        <v>5.366563145989496</v>
      </c>
      <c r="L23" s="87" t="str">
        <f t="shared" si="11"/>
        <v> </v>
      </c>
      <c r="M23" s="10"/>
      <c r="O23" s="1"/>
      <c r="P23" s="1"/>
      <c r="V23" s="103"/>
      <c r="W23" s="103"/>
      <c r="X23" s="103"/>
      <c r="Y23" s="103"/>
      <c r="Z23" s="103"/>
      <c r="AA23" s="103"/>
      <c r="AB23" s="160" t="str">
        <f t="shared" si="0"/>
        <v>R3</v>
      </c>
      <c r="AC23" s="160">
        <f t="shared" si="1"/>
        <v>31.48215410529386</v>
      </c>
      <c r="AD23" s="108">
        <f t="shared" si="2"/>
        <v>7.3484692283395345</v>
      </c>
      <c r="AE23" s="160" t="str">
        <f t="shared" si="3"/>
        <v>90-R3</v>
      </c>
      <c r="AF23" s="160">
        <f t="shared" si="4"/>
        <v>58.51784589470614</v>
      </c>
      <c r="AG23" s="108">
        <f t="shared" si="5"/>
        <v>19.59591794225542</v>
      </c>
      <c r="AH23" s="160"/>
      <c r="AI23" s="104" t="s">
        <v>28</v>
      </c>
      <c r="AJ23" s="104">
        <f>ATAN($BL$26*$BM$24)*$BJ$9</f>
        <v>31.48215410529386</v>
      </c>
      <c r="AK23" s="104" t="s">
        <v>140</v>
      </c>
      <c r="AL23" s="104">
        <f>90-$AJ$23</f>
        <v>58.51784589470614</v>
      </c>
      <c r="AM23" s="106" t="s">
        <v>28</v>
      </c>
      <c r="AN23" s="104">
        <f>ATAN($BL$27*$BM$25)*$BJ$9</f>
        <v>31.48215410529386</v>
      </c>
      <c r="AO23" s="106" t="s">
        <v>140</v>
      </c>
      <c r="AP23" s="104">
        <f>90-$AN$23</f>
        <v>58.51784589470614</v>
      </c>
      <c r="AQ23" s="103"/>
      <c r="AR23" s="103"/>
      <c r="AS23" s="104" t="s">
        <v>28</v>
      </c>
      <c r="AT23" s="102">
        <f t="shared" si="6"/>
        <v>7.3484692283395345</v>
      </c>
      <c r="AU23" s="108">
        <f t="shared" si="6"/>
        <v>7.3484692283395345</v>
      </c>
      <c r="AV23" s="102">
        <f t="shared" si="7"/>
        <v>19.59591794225542</v>
      </c>
      <c r="AW23" s="108">
        <f t="shared" si="7"/>
        <v>19.59591794225542</v>
      </c>
      <c r="AX23" s="102"/>
      <c r="AY23" s="106" t="s">
        <v>28</v>
      </c>
      <c r="AZ23" s="102">
        <f t="shared" si="8"/>
        <v>7.3484692283395345</v>
      </c>
      <c r="BA23" s="108">
        <f t="shared" si="8"/>
        <v>7.3484692283395345</v>
      </c>
      <c r="BB23" s="102">
        <f t="shared" si="9"/>
        <v>19.59591794225542</v>
      </c>
      <c r="BC23" s="108">
        <f t="shared" si="9"/>
        <v>19.59591794225542</v>
      </c>
      <c r="BD23" s="103"/>
      <c r="BE23" s="103"/>
      <c r="BF23" s="103"/>
      <c r="BG23" s="103"/>
      <c r="BH23" s="103"/>
      <c r="BI23" s="176"/>
      <c r="BJ23" s="160" t="s">
        <v>6</v>
      </c>
      <c r="BK23" s="160">
        <f>SIN($AJ$9*$BJ$8)</f>
        <v>0.5773502691896258</v>
      </c>
      <c r="BL23" s="160">
        <f>COS($AJ$9*$BJ$8)</f>
        <v>0.816496580927726</v>
      </c>
      <c r="BM23" s="160">
        <f>TAN($AJ$9*$BJ$8)</f>
        <v>0.7071067811865476</v>
      </c>
      <c r="BN23" s="160"/>
      <c r="BO23" s="160"/>
      <c r="BP23" s="159"/>
    </row>
    <row r="24" spans="2:68" ht="12.75">
      <c r="B24" s="25"/>
      <c r="C24" s="85" t="str">
        <f t="shared" si="10"/>
        <v> </v>
      </c>
      <c r="D24" s="27" t="str">
        <f>IF(LEFT($G$14)="Y",$AE$29,$AB$29)</f>
        <v>A9</v>
      </c>
      <c r="E24" s="88">
        <f>IF(LEFT($G$14)="Y",$AF$29,$AC$29)</f>
        <v>19.471220634490695</v>
      </c>
      <c r="F24" s="19">
        <f>IF(LEFT($G$14)="Y",$AG$29,$AD$29)</f>
        <v>4.242640687109286</v>
      </c>
      <c r="G24" s="86" t="str">
        <f>$AJ$73</f>
        <v> </v>
      </c>
      <c r="H24" s="2"/>
      <c r="I24" s="2"/>
      <c r="J24" s="2"/>
      <c r="K24" s="2"/>
      <c r="L24" s="13"/>
      <c r="M24" s="10"/>
      <c r="O24" s="1"/>
      <c r="P24" s="1"/>
      <c r="V24" s="103"/>
      <c r="W24" s="103"/>
      <c r="X24" s="103"/>
      <c r="Y24" s="103"/>
      <c r="Z24" s="103"/>
      <c r="AA24" s="103"/>
      <c r="AB24" s="160" t="str">
        <f t="shared" si="0"/>
        <v>P3</v>
      </c>
      <c r="AC24" s="160">
        <f t="shared" si="1"/>
        <v>25.239401820678914</v>
      </c>
      <c r="AD24" s="108">
        <f t="shared" si="2"/>
        <v>5.65685424948238</v>
      </c>
      <c r="AE24" s="160" t="str">
        <f t="shared" si="3"/>
        <v>90-P3</v>
      </c>
      <c r="AF24" s="160">
        <f t="shared" si="4"/>
        <v>64.76059817932108</v>
      </c>
      <c r="AG24" s="108">
        <f t="shared" si="5"/>
        <v>25.45584412270569</v>
      </c>
      <c r="AH24" s="160"/>
      <c r="AI24" s="104" t="s">
        <v>29</v>
      </c>
      <c r="AJ24" s="104">
        <f>ATAN($BM$26*$BL$24)*$BJ$9</f>
        <v>25.239401820678914</v>
      </c>
      <c r="AK24" s="104" t="s">
        <v>141</v>
      </c>
      <c r="AL24" s="104">
        <f>90-$AJ$24</f>
        <v>64.76059817932108</v>
      </c>
      <c r="AM24" s="106" t="s">
        <v>29</v>
      </c>
      <c r="AN24" s="104">
        <f>ATAN($BM$27*$BL$25)*$BJ$9</f>
        <v>25.239401820678914</v>
      </c>
      <c r="AO24" s="106" t="s">
        <v>141</v>
      </c>
      <c r="AP24" s="104">
        <f>90-$AN$24</f>
        <v>64.76059817932108</v>
      </c>
      <c r="AQ24" s="103"/>
      <c r="AR24" s="103"/>
      <c r="AS24" s="104" t="s">
        <v>29</v>
      </c>
      <c r="AT24" s="102">
        <f t="shared" si="6"/>
        <v>5.65685424948238</v>
      </c>
      <c r="AU24" s="108">
        <f t="shared" si="6"/>
        <v>5.65685424948238</v>
      </c>
      <c r="AV24" s="102">
        <f t="shared" si="7"/>
        <v>25.45584412270569</v>
      </c>
      <c r="AW24" s="108">
        <f t="shared" si="7"/>
        <v>25.45584412270569</v>
      </c>
      <c r="AX24" s="102"/>
      <c r="AY24" s="106" t="s">
        <v>29</v>
      </c>
      <c r="AZ24" s="102">
        <f t="shared" si="8"/>
        <v>5.65685424948238</v>
      </c>
      <c r="BA24" s="108">
        <f t="shared" si="8"/>
        <v>5.65685424948238</v>
      </c>
      <c r="BB24" s="102">
        <f t="shared" si="9"/>
        <v>25.45584412270569</v>
      </c>
      <c r="BC24" s="108">
        <f t="shared" si="9"/>
        <v>25.45584412270569</v>
      </c>
      <c r="BD24" s="103"/>
      <c r="BE24" s="103"/>
      <c r="BF24" s="103"/>
      <c r="BG24" s="103"/>
      <c r="BH24" s="103"/>
      <c r="BI24" s="176"/>
      <c r="BJ24" s="160" t="s">
        <v>9</v>
      </c>
      <c r="BK24" s="160">
        <f>SIN($AJ$10*$BJ$8)</f>
        <v>0.5773502691896258</v>
      </c>
      <c r="BL24" s="160">
        <f>COS($AJ$10*$BJ$8)</f>
        <v>0.8164965809277259</v>
      </c>
      <c r="BM24" s="160">
        <f>TAN($AJ$10*$BJ$8)</f>
        <v>0.7071067811865477</v>
      </c>
      <c r="BN24" s="160"/>
      <c r="BO24" s="160"/>
      <c r="BP24" s="159"/>
    </row>
    <row r="25" spans="2:68" ht="12.75">
      <c r="B25" s="25"/>
      <c r="C25" s="85" t="str">
        <f t="shared" si="10"/>
        <v> </v>
      </c>
      <c r="D25" s="27" t="str">
        <f>IF(LEFT($G$14)="Y",$AE$31,$AB$31)</f>
        <v>P5</v>
      </c>
      <c r="E25" s="88">
        <f>IF(LEFT($G$14)="Y",$AF$31,$AC$31)</f>
        <v>35.264389682754654</v>
      </c>
      <c r="F25" s="19">
        <f>IF(LEFT($G$14)="Y",$AG$31,$AD$31)</f>
        <v>8.485281374228572</v>
      </c>
      <c r="G25" s="86" t="str">
        <f>$AJ$74</f>
        <v> </v>
      </c>
      <c r="H25" s="2"/>
      <c r="I25" s="90" t="str">
        <f>$AK$88</f>
        <v>HIP / VALLEY meets COMMON RAFTER</v>
      </c>
      <c r="J25" s="16"/>
      <c r="K25" s="18"/>
      <c r="L25" s="13"/>
      <c r="M25" s="10"/>
      <c r="V25" s="103"/>
      <c r="W25" s="103"/>
      <c r="X25" s="103"/>
      <c r="Y25" s="103"/>
      <c r="Z25" s="103"/>
      <c r="AA25" s="103"/>
      <c r="AB25" s="160" t="str">
        <f t="shared" si="0"/>
        <v>C1</v>
      </c>
      <c r="AC25" s="160">
        <f t="shared" si="1"/>
        <v>30.00000000000001</v>
      </c>
      <c r="AD25" s="108">
        <f t="shared" si="2"/>
        <v>6.928203230265511</v>
      </c>
      <c r="AE25" s="160" t="str">
        <f t="shared" si="3"/>
        <v>90-C1</v>
      </c>
      <c r="AF25" s="160">
        <f t="shared" si="4"/>
        <v>59.999999999999986</v>
      </c>
      <c r="AG25" s="108">
        <f t="shared" si="5"/>
        <v>20.78460969081651</v>
      </c>
      <c r="AH25" s="160"/>
      <c r="AI25" s="104" t="s">
        <v>30</v>
      </c>
      <c r="AJ25" s="104">
        <f>ASIN($BL$21*$BL$19)*$BJ$9</f>
        <v>30.00000000000001</v>
      </c>
      <c r="AK25" s="104" t="s">
        <v>142</v>
      </c>
      <c r="AL25" s="104">
        <f>90-$AJ$25</f>
        <v>59.999999999999986</v>
      </c>
      <c r="AM25" s="106" t="s">
        <v>30</v>
      </c>
      <c r="AN25" s="104">
        <f>ASIN($BL$22*$BL$20)*$BJ$9</f>
        <v>30.00000000000001</v>
      </c>
      <c r="AO25" s="106" t="s">
        <v>142</v>
      </c>
      <c r="AP25" s="104">
        <f>90-$AN$25</f>
        <v>59.999999999999986</v>
      </c>
      <c r="AQ25" s="103"/>
      <c r="AR25" s="103"/>
      <c r="AS25" s="104" t="s">
        <v>30</v>
      </c>
      <c r="AT25" s="102">
        <f t="shared" si="6"/>
        <v>6.928203230265511</v>
      </c>
      <c r="AU25" s="108">
        <f t="shared" si="6"/>
        <v>6.928203230265511</v>
      </c>
      <c r="AV25" s="102">
        <f t="shared" si="7"/>
        <v>20.78460969081651</v>
      </c>
      <c r="AW25" s="108">
        <f t="shared" si="7"/>
        <v>20.78460969081651</v>
      </c>
      <c r="AX25" s="102"/>
      <c r="AY25" s="106" t="s">
        <v>30</v>
      </c>
      <c r="AZ25" s="102">
        <f t="shared" si="8"/>
        <v>6.928203230265511</v>
      </c>
      <c r="BA25" s="108">
        <f t="shared" si="8"/>
        <v>6.928203230265511</v>
      </c>
      <c r="BB25" s="102">
        <f t="shared" si="9"/>
        <v>20.78460969081651</v>
      </c>
      <c r="BC25" s="108">
        <f t="shared" si="9"/>
        <v>20.78460969081651</v>
      </c>
      <c r="BD25" s="103"/>
      <c r="BE25" s="103"/>
      <c r="BF25" s="103"/>
      <c r="BG25" s="103"/>
      <c r="BH25" s="103"/>
      <c r="BI25" s="176"/>
      <c r="BJ25" s="160" t="s">
        <v>10</v>
      </c>
      <c r="BK25" s="160">
        <f>SIN($AN$10*$BJ$8)</f>
        <v>0.5773502691896258</v>
      </c>
      <c r="BL25" s="160">
        <f>COS($AN$10*$BJ$8)</f>
        <v>0.8164965809277259</v>
      </c>
      <c r="BM25" s="160">
        <f>TAN($AN$10*$BJ$8)</f>
        <v>0.7071067811865477</v>
      </c>
      <c r="BN25" s="160"/>
      <c r="BO25" s="160"/>
      <c r="BP25" s="159"/>
    </row>
    <row r="26" spans="2:68" ht="12.75">
      <c r="B26" s="25"/>
      <c r="C26" s="85" t="str">
        <f t="shared" si="10"/>
        <v> </v>
      </c>
      <c r="D26" s="27" t="str">
        <f>IF(LEFT($G$14)="Y",$AE$33,$AB$33)</f>
        <v>P5BV</v>
      </c>
      <c r="E26" s="88">
        <f>IF(LEFT($G$14)="Y",$AF$33,$AC$33)</f>
        <v>29.999999999999993</v>
      </c>
      <c r="F26" s="19">
        <f>IF(LEFT($G$14)="Y",$AG$33,$AD$33)</f>
        <v>6.928203230265506</v>
      </c>
      <c r="G26" s="86" t="str">
        <f>$AJ$75</f>
        <v> </v>
      </c>
      <c r="H26" s="2"/>
      <c r="I26" s="27" t="str">
        <f>IF(LEFT($G$14)="Y",$AE$18,$AB$18)</f>
        <v>P6</v>
      </c>
      <c r="J26" s="65">
        <f>IF(LEFT($G$14)="Y",$AF$18,$AC$18)</f>
        <v>18.434948822922017</v>
      </c>
      <c r="K26" s="19">
        <f>IF(LEFT($G$14)="Y",$AG$18,$AD$18)</f>
        <v>3.999999999990001</v>
      </c>
      <c r="L26" s="13"/>
      <c r="M26" s="10"/>
      <c r="V26" s="103"/>
      <c r="W26" s="103"/>
      <c r="X26" s="103"/>
      <c r="Y26" s="103"/>
      <c r="Z26" s="103"/>
      <c r="AA26" s="103"/>
      <c r="AB26" s="160" t="str">
        <f t="shared" si="0"/>
        <v>C2</v>
      </c>
      <c r="AC26" s="160">
        <f t="shared" si="1"/>
        <v>16.77865488096036</v>
      </c>
      <c r="AD26" s="108">
        <f t="shared" si="2"/>
        <v>3.618136134923164</v>
      </c>
      <c r="AE26" s="160" t="str">
        <f t="shared" si="3"/>
        <v>90-C2</v>
      </c>
      <c r="AF26" s="160">
        <f t="shared" si="4"/>
        <v>73.22134511903964</v>
      </c>
      <c r="AG26" s="108">
        <f t="shared" si="5"/>
        <v>39.799497484254786</v>
      </c>
      <c r="AH26" s="160"/>
      <c r="AI26" s="104" t="s">
        <v>31</v>
      </c>
      <c r="AJ26" s="104">
        <f>ASIN($BK$26*$BK$24)*$BJ$9</f>
        <v>16.77865488096036</v>
      </c>
      <c r="AK26" s="104" t="s">
        <v>143</v>
      </c>
      <c r="AL26" s="104">
        <f>90-$AJ$26</f>
        <v>73.22134511903964</v>
      </c>
      <c r="AM26" s="106" t="s">
        <v>31</v>
      </c>
      <c r="AN26" s="104">
        <f>ASIN($BK$27*$BK$25)*$BJ$9</f>
        <v>16.77865488096036</v>
      </c>
      <c r="AO26" s="106" t="s">
        <v>143</v>
      </c>
      <c r="AP26" s="104">
        <f>90-$AN$26</f>
        <v>73.22134511903964</v>
      </c>
      <c r="AQ26" s="103"/>
      <c r="AR26" s="103"/>
      <c r="AS26" s="104" t="s">
        <v>31</v>
      </c>
      <c r="AT26" s="102">
        <f t="shared" si="6"/>
        <v>3.618136134923164</v>
      </c>
      <c r="AU26" s="108">
        <f t="shared" si="6"/>
        <v>3.618136134923164</v>
      </c>
      <c r="AV26" s="102">
        <f t="shared" si="7"/>
        <v>39.799497484254786</v>
      </c>
      <c r="AW26" s="108">
        <f t="shared" si="7"/>
        <v>39.799497484254786</v>
      </c>
      <c r="AX26" s="102"/>
      <c r="AY26" s="106" t="s">
        <v>31</v>
      </c>
      <c r="AZ26" s="102">
        <f t="shared" si="8"/>
        <v>3.618136134923164</v>
      </c>
      <c r="BA26" s="108">
        <f t="shared" si="8"/>
        <v>3.618136134923164</v>
      </c>
      <c r="BB26" s="102">
        <f t="shared" si="9"/>
        <v>39.799497484254786</v>
      </c>
      <c r="BC26" s="108">
        <f t="shared" si="9"/>
        <v>39.799497484254786</v>
      </c>
      <c r="BD26" s="103"/>
      <c r="BE26" s="103"/>
      <c r="BF26" s="103"/>
      <c r="BG26" s="103"/>
      <c r="BH26" s="103"/>
      <c r="BI26" s="176"/>
      <c r="BJ26" s="160" t="s">
        <v>11</v>
      </c>
      <c r="BK26" s="160">
        <f>SIN($AJ$11*$BJ$8)</f>
        <v>0.5</v>
      </c>
      <c r="BL26" s="160">
        <f>COS($AJ$11*$BJ$8)</f>
        <v>0.8660254037844386</v>
      </c>
      <c r="BM26" s="160">
        <f>TAN($AJ$11*$BJ$8)</f>
        <v>0.5773502691896258</v>
      </c>
      <c r="BN26" s="160"/>
      <c r="BO26" s="160"/>
      <c r="BP26" s="159"/>
    </row>
    <row r="27" spans="2:68" ht="12.75">
      <c r="B27" s="25"/>
      <c r="C27" s="85" t="str">
        <f t="shared" si="10"/>
        <v> </v>
      </c>
      <c r="D27" s="4" t="str">
        <f>$AJ$76</f>
        <v> </v>
      </c>
      <c r="E27" s="16"/>
      <c r="F27" s="16"/>
      <c r="G27" s="16"/>
      <c r="H27" s="2"/>
      <c r="I27" s="27" t="str">
        <f>IF(LEFT($G$14)="Y",$AE$20,$AB$20)</f>
        <v>R6P</v>
      </c>
      <c r="J27" s="65">
        <f>IF(LEFT($G$14)="Y",$AF$20,$AC$20)</f>
        <v>15.79316904826397</v>
      </c>
      <c r="K27" s="19">
        <f>IF(LEFT($G$14)="Y",$AG$20,$AD$20)</f>
        <v>3.3941125496854294</v>
      </c>
      <c r="L27" s="13"/>
      <c r="M27" s="10"/>
      <c r="V27" s="103"/>
      <c r="W27" s="103"/>
      <c r="X27" s="103"/>
      <c r="Y27" s="103"/>
      <c r="Z27" s="103"/>
      <c r="AA27" s="103"/>
      <c r="AB27" s="160" t="str">
        <f t="shared" si="0"/>
        <v>R7</v>
      </c>
      <c r="AC27" s="160">
        <f t="shared" si="1"/>
        <v>14.420068106472765</v>
      </c>
      <c r="AD27" s="108">
        <f t="shared" si="2"/>
        <v>3.0855568633494803</v>
      </c>
      <c r="AE27" s="160" t="str">
        <f t="shared" si="3"/>
        <v>90-R7</v>
      </c>
      <c r="AF27" s="160">
        <f t="shared" si="4"/>
        <v>75.57993189352723</v>
      </c>
      <c r="AG27" s="108">
        <f t="shared" si="5"/>
        <v>46.669047558302125</v>
      </c>
      <c r="AH27" s="160"/>
      <c r="AI27" s="104" t="s">
        <v>32</v>
      </c>
      <c r="AJ27" s="104">
        <f>ATAN($BK$59*$BL$30)*$BJ$9</f>
        <v>14.420068106472765</v>
      </c>
      <c r="AK27" s="104" t="s">
        <v>144</v>
      </c>
      <c r="AL27" s="104">
        <f>90-$AJ$27</f>
        <v>75.57993189352723</v>
      </c>
      <c r="AM27" s="106" t="s">
        <v>32</v>
      </c>
      <c r="AN27" s="104">
        <f>ATAN($BK$60*$BL$31)*$BJ$9</f>
        <v>14.420068106472765</v>
      </c>
      <c r="AO27" s="106" t="s">
        <v>144</v>
      </c>
      <c r="AP27" s="104">
        <f>90-$AN$27</f>
        <v>75.57993189352723</v>
      </c>
      <c r="AQ27" s="103"/>
      <c r="AR27" s="103"/>
      <c r="AS27" s="104" t="s">
        <v>32</v>
      </c>
      <c r="AT27" s="102">
        <f aca="true" t="shared" si="12" ref="AT27:AU42">TAN(RADIANS($AJ$7:$AJ$42))*$G$12-0.00000000001</f>
        <v>3.0855568633494803</v>
      </c>
      <c r="AU27" s="108">
        <f t="shared" si="12"/>
        <v>3.0855568633494803</v>
      </c>
      <c r="AV27" s="102">
        <f aca="true" t="shared" si="13" ref="AV27:AW42">TAN(RADIANS($AL$7:$AL$42))*$G$12-0.00000000001</f>
        <v>46.669047558302125</v>
      </c>
      <c r="AW27" s="108">
        <f t="shared" si="13"/>
        <v>46.669047558302125</v>
      </c>
      <c r="AX27" s="102"/>
      <c r="AY27" s="106" t="s">
        <v>32</v>
      </c>
      <c r="AZ27" s="102">
        <f t="shared" si="8"/>
        <v>3.0855568633494803</v>
      </c>
      <c r="BA27" s="108">
        <f t="shared" si="8"/>
        <v>3.0855568633494803</v>
      </c>
      <c r="BB27" s="102">
        <f t="shared" si="9"/>
        <v>46.669047558302125</v>
      </c>
      <c r="BC27" s="108">
        <f t="shared" si="9"/>
        <v>46.669047558302125</v>
      </c>
      <c r="BD27" s="103"/>
      <c r="BE27" s="103"/>
      <c r="BF27" s="103"/>
      <c r="BG27" s="103"/>
      <c r="BH27" s="103"/>
      <c r="BI27" s="176"/>
      <c r="BJ27" s="160" t="s">
        <v>12</v>
      </c>
      <c r="BK27" s="160">
        <f>SIN($AN$11*$BJ$8)</f>
        <v>0.5</v>
      </c>
      <c r="BL27" s="160">
        <f>COS($AN$11*$BJ$8)</f>
        <v>0.8660254037844386</v>
      </c>
      <c r="BM27" s="160">
        <f>TAN($AN$11*$BJ$8)</f>
        <v>0.5773502691896258</v>
      </c>
      <c r="BN27" s="160"/>
      <c r="BO27" s="160"/>
      <c r="BP27" s="159"/>
    </row>
    <row r="28" spans="2:68" ht="12.75">
      <c r="B28" s="25"/>
      <c r="C28" s="32"/>
      <c r="D28" s="91" t="str">
        <f>$AK$86</f>
        <v>PURLIN meets HIP / VALLEY</v>
      </c>
      <c r="E28" s="16"/>
      <c r="F28" s="16"/>
      <c r="G28" s="2"/>
      <c r="H28" s="2"/>
      <c r="I28" s="27" t="str">
        <f>IF(LEFT($G$14)="Y",$AE$42,$AB$42)</f>
        <v>R6PBV</v>
      </c>
      <c r="J28" s="65">
        <f>IF(LEFT($G$14)="Y",$AF$42,$AC$42)</f>
        <v>18.434948822922017</v>
      </c>
      <c r="K28" s="19">
        <f>IF(LEFT($G$14)="Y",$AG$42,$AD$42)</f>
        <v>3.999999999990001</v>
      </c>
      <c r="L28" s="13"/>
      <c r="M28" s="10"/>
      <c r="V28" s="103"/>
      <c r="W28" s="103"/>
      <c r="X28" s="103"/>
      <c r="Y28" s="103"/>
      <c r="Z28" s="103"/>
      <c r="AA28" s="103"/>
      <c r="AB28" s="160" t="str">
        <f t="shared" si="0"/>
        <v>A8</v>
      </c>
      <c r="AC28" s="160">
        <f t="shared" si="1"/>
        <v>10.024987862075742</v>
      </c>
      <c r="AD28" s="108">
        <f t="shared" si="2"/>
        <v>2.121320343549643</v>
      </c>
      <c r="AE28" s="160" t="str">
        <f t="shared" si="3"/>
        <v>90-A8</v>
      </c>
      <c r="AF28" s="160">
        <f t="shared" si="4"/>
        <v>79.97501213792425</v>
      </c>
      <c r="AG28" s="108">
        <f t="shared" si="5"/>
        <v>67.8822509938985</v>
      </c>
      <c r="AH28" s="160"/>
      <c r="AI28" s="104" t="s">
        <v>33</v>
      </c>
      <c r="AJ28" s="104">
        <f>ATAN($BK$26*$BM$28)*$BJ$9</f>
        <v>10.024987862075742</v>
      </c>
      <c r="AK28" s="104" t="s">
        <v>145</v>
      </c>
      <c r="AL28" s="104">
        <f>90-$AJ$28</f>
        <v>79.97501213792425</v>
      </c>
      <c r="AM28" s="106" t="s">
        <v>33</v>
      </c>
      <c r="AN28" s="104">
        <f>ATAN($BK$27*$BM$29)*$BJ$9</f>
        <v>10.024987862075742</v>
      </c>
      <c r="AO28" s="106" t="s">
        <v>145</v>
      </c>
      <c r="AP28" s="104">
        <f>90-$AN$28</f>
        <v>79.97501213792425</v>
      </c>
      <c r="AQ28" s="103"/>
      <c r="AR28" s="103"/>
      <c r="AS28" s="104" t="s">
        <v>33</v>
      </c>
      <c r="AT28" s="102">
        <f t="shared" si="12"/>
        <v>2.121320343549643</v>
      </c>
      <c r="AU28" s="108">
        <f t="shared" si="12"/>
        <v>2.121320343549643</v>
      </c>
      <c r="AV28" s="102">
        <f t="shared" si="13"/>
        <v>67.8822509938985</v>
      </c>
      <c r="AW28" s="108">
        <f t="shared" si="13"/>
        <v>67.8822509938985</v>
      </c>
      <c r="AX28" s="102"/>
      <c r="AY28" s="106" t="s">
        <v>33</v>
      </c>
      <c r="AZ28" s="102">
        <f t="shared" si="8"/>
        <v>2.121320343549643</v>
      </c>
      <c r="BA28" s="108">
        <f t="shared" si="8"/>
        <v>2.121320343549643</v>
      </c>
      <c r="BB28" s="102">
        <f t="shared" si="9"/>
        <v>67.8822509938985</v>
      </c>
      <c r="BC28" s="108">
        <f t="shared" si="9"/>
        <v>67.8822509938985</v>
      </c>
      <c r="BD28" s="103"/>
      <c r="BE28" s="103"/>
      <c r="BF28" s="103"/>
      <c r="BG28" s="103"/>
      <c r="BH28" s="103"/>
      <c r="BI28" s="176"/>
      <c r="BJ28" s="160" t="s">
        <v>63</v>
      </c>
      <c r="BK28" s="160">
        <f>SIN($AJ$22*$BJ$8)</f>
        <v>0.33333333333333337</v>
      </c>
      <c r="BL28" s="160">
        <f>COS($AJ$22*$BJ$8)</f>
        <v>0.9428090415820634</v>
      </c>
      <c r="BM28" s="160">
        <f>TAN($AJ$22*$BJ$8)</f>
        <v>0.3535533905932738</v>
      </c>
      <c r="BN28" s="160"/>
      <c r="BO28" s="160"/>
      <c r="BP28" s="159"/>
    </row>
    <row r="29" spans="2:68" ht="12.75">
      <c r="B29" s="25"/>
      <c r="C29" s="21"/>
      <c r="D29" s="27" t="str">
        <f>IF(LEFT($G$14)="Y",$AE$22,$AB$22)</f>
        <v>R2</v>
      </c>
      <c r="E29" s="65">
        <f>IF(LEFT($G$14)="Y",$AF$22,$AC$22)</f>
        <v>19.471220634490695</v>
      </c>
      <c r="F29" s="19">
        <f>IF(LEFT($G$14)="Y",$AG$22,$AD$22)</f>
        <v>4.242640687109286</v>
      </c>
      <c r="G29" s="16"/>
      <c r="H29" s="2"/>
      <c r="I29" s="27" t="str">
        <f>IF(LEFT($G$14)="Y",$AE$40,$AB$40)</f>
        <v>VC</v>
      </c>
      <c r="J29" s="65">
        <f>IF(LEFT($G$14)="Y",$AF$40,$AC$40)</f>
        <v>41.81031489577861</v>
      </c>
      <c r="K29" s="19">
        <f>IF(LEFT($G$14)="Y",$AG$40,$AD$40)</f>
        <v>10.733126291988995</v>
      </c>
      <c r="L29" s="13"/>
      <c r="M29" s="10"/>
      <c r="V29" s="103"/>
      <c r="W29" s="103"/>
      <c r="X29" s="103"/>
      <c r="Y29" s="103"/>
      <c r="Z29" s="103"/>
      <c r="AA29" s="103"/>
      <c r="AB29" s="160" t="str">
        <f t="shared" si="0"/>
        <v>A9</v>
      </c>
      <c r="AC29" s="160">
        <f t="shared" si="1"/>
        <v>19.471220634490695</v>
      </c>
      <c r="AD29" s="108">
        <f t="shared" si="2"/>
        <v>4.242640687109286</v>
      </c>
      <c r="AE29" s="160" t="str">
        <f t="shared" si="3"/>
        <v>90-A9</v>
      </c>
      <c r="AF29" s="160">
        <f t="shared" si="4"/>
        <v>70.52877936550931</v>
      </c>
      <c r="AG29" s="108">
        <f t="shared" si="5"/>
        <v>33.94112549694429</v>
      </c>
      <c r="AH29" s="161"/>
      <c r="AI29" s="109" t="str">
        <f>IF(LEFT($G$15)="Y","R5P","A9")</f>
        <v>A9</v>
      </c>
      <c r="AJ29" s="104">
        <f>ATAN($BK$26*$BM$23)*$BJ$9</f>
        <v>19.471220634490695</v>
      </c>
      <c r="AK29" s="109" t="str">
        <f>IF(LEFT($G$15)="Y","90-R5P","90-A9")</f>
        <v>90-A9</v>
      </c>
      <c r="AL29" s="104">
        <f>90-$AJ$29</f>
        <v>70.52877936550931</v>
      </c>
      <c r="AM29" s="110" t="str">
        <f>IF(LEFT($G$15)="Y","R5P","A9")</f>
        <v>A9</v>
      </c>
      <c r="AN29" s="104">
        <f>ATAN($BK$27*$BM$23)*$BJ$9</f>
        <v>19.471220634490695</v>
      </c>
      <c r="AO29" s="110" t="str">
        <f>IF(LEFT($G$15)="Y","90-R5P","90-A9")</f>
        <v>90-A9</v>
      </c>
      <c r="AP29" s="104">
        <f>90-$AN$29</f>
        <v>70.52877936550931</v>
      </c>
      <c r="AQ29" s="103"/>
      <c r="AR29" s="103"/>
      <c r="AS29" s="104" t="s">
        <v>34</v>
      </c>
      <c r="AT29" s="102">
        <f t="shared" si="12"/>
        <v>4.242640687109286</v>
      </c>
      <c r="AU29" s="108">
        <f t="shared" si="12"/>
        <v>4.242640687109286</v>
      </c>
      <c r="AV29" s="102">
        <f t="shared" si="13"/>
        <v>33.94112549694429</v>
      </c>
      <c r="AW29" s="108">
        <f t="shared" si="13"/>
        <v>33.94112549694429</v>
      </c>
      <c r="AX29" s="102"/>
      <c r="AY29" s="106" t="s">
        <v>34</v>
      </c>
      <c r="AZ29" s="102">
        <f t="shared" si="8"/>
        <v>4.242640687109286</v>
      </c>
      <c r="BA29" s="108">
        <f t="shared" si="8"/>
        <v>4.242640687109286</v>
      </c>
      <c r="BB29" s="102">
        <f t="shared" si="9"/>
        <v>33.94112549694429</v>
      </c>
      <c r="BC29" s="108">
        <f t="shared" si="9"/>
        <v>33.94112549694429</v>
      </c>
      <c r="BD29" s="103"/>
      <c r="BE29" s="103"/>
      <c r="BF29" s="103"/>
      <c r="BG29" s="103"/>
      <c r="BH29" s="103"/>
      <c r="BI29" s="176"/>
      <c r="BJ29" s="160" t="s">
        <v>64</v>
      </c>
      <c r="BK29" s="160">
        <f>SIN($AN$22*$BJ$8)</f>
        <v>0.33333333333333337</v>
      </c>
      <c r="BL29" s="160">
        <f>COS($AN$22*$BJ$8)</f>
        <v>0.9428090415820634</v>
      </c>
      <c r="BM29" s="160">
        <f>TAN($AN$22*$BJ$8)</f>
        <v>0.3535533905932738</v>
      </c>
      <c r="BN29" s="160"/>
      <c r="BO29" s="160"/>
      <c r="BP29" s="159"/>
    </row>
    <row r="30" spans="2:68" ht="12.75">
      <c r="B30" s="25"/>
      <c r="C30" s="21"/>
      <c r="D30" s="27" t="str">
        <f>IF(LEFT($G$14)="Y",$AE$21,$AB$21)</f>
        <v>P1</v>
      </c>
      <c r="E30" s="65">
        <f>IF(LEFT($G$14)="Y",$AF$21,$AC$21)</f>
        <v>35.264389682754654</v>
      </c>
      <c r="F30" s="19">
        <f>IF(LEFT($G$14)="Y",$AG$21,$AD$21)</f>
        <v>8.485281374228572</v>
      </c>
      <c r="G30" s="16"/>
      <c r="H30" s="2"/>
      <c r="I30" s="2"/>
      <c r="J30" s="2"/>
      <c r="K30" s="2"/>
      <c r="L30" s="13"/>
      <c r="M30" s="10"/>
      <c r="V30" s="103"/>
      <c r="W30" s="103"/>
      <c r="X30" s="103"/>
      <c r="Y30" s="103"/>
      <c r="Z30" s="103"/>
      <c r="AA30" s="103"/>
      <c r="AB30" s="160" t="str">
        <f t="shared" si="0"/>
        <v>P4</v>
      </c>
      <c r="AC30" s="160">
        <f t="shared" si="1"/>
        <v>25.23940182067892</v>
      </c>
      <c r="AD30" s="108">
        <f t="shared" si="2"/>
        <v>5.656854249482382</v>
      </c>
      <c r="AE30" s="160" t="str">
        <f t="shared" si="3"/>
        <v>90-P4</v>
      </c>
      <c r="AF30" s="160">
        <f t="shared" si="4"/>
        <v>64.76059817932108</v>
      </c>
      <c r="AG30" s="108">
        <f t="shared" si="5"/>
        <v>25.45584412270569</v>
      </c>
      <c r="AH30" s="161"/>
      <c r="AI30" s="104" t="s">
        <v>35</v>
      </c>
      <c r="AJ30" s="104">
        <f>ATAN($BK$47*$BK$53)*$BJ$9</f>
        <v>25.23940182067892</v>
      </c>
      <c r="AK30" s="104" t="s">
        <v>146</v>
      </c>
      <c r="AL30" s="104">
        <f>90-$AJ$30</f>
        <v>64.76059817932108</v>
      </c>
      <c r="AM30" s="106" t="s">
        <v>35</v>
      </c>
      <c r="AN30" s="104">
        <f>ATAN($BK$48*$BK$54)*$BJ$9</f>
        <v>25.23940182067892</v>
      </c>
      <c r="AO30" s="106" t="s">
        <v>146</v>
      </c>
      <c r="AP30" s="104">
        <f>90-$AN$30</f>
        <v>64.76059817932108</v>
      </c>
      <c r="AQ30" s="103"/>
      <c r="AR30" s="103"/>
      <c r="AS30" s="104" t="s">
        <v>35</v>
      </c>
      <c r="AT30" s="102">
        <f t="shared" si="12"/>
        <v>5.656854249482382</v>
      </c>
      <c r="AU30" s="108">
        <f t="shared" si="12"/>
        <v>5.656854249482382</v>
      </c>
      <c r="AV30" s="102">
        <f t="shared" si="13"/>
        <v>25.45584412270569</v>
      </c>
      <c r="AW30" s="108">
        <f t="shared" si="13"/>
        <v>25.45584412270569</v>
      </c>
      <c r="AX30" s="102"/>
      <c r="AY30" s="106" t="s">
        <v>35</v>
      </c>
      <c r="AZ30" s="102">
        <f aca="true" t="shared" si="14" ref="AZ30:BA42">TAN(RADIANS($AN$7:$AN$42))*$G$12-0.00000000001</f>
        <v>5.656854249482382</v>
      </c>
      <c r="BA30" s="108">
        <f t="shared" si="14"/>
        <v>5.656854249482382</v>
      </c>
      <c r="BB30" s="102">
        <f aca="true" t="shared" si="15" ref="BB30:BC42">TAN(RADIANS($AP$7:$AP$42))*$G$12-0.00000000001</f>
        <v>25.45584412270569</v>
      </c>
      <c r="BC30" s="108">
        <f t="shared" si="15"/>
        <v>25.45584412270569</v>
      </c>
      <c r="BD30" s="103"/>
      <c r="BE30" s="103"/>
      <c r="BF30" s="103"/>
      <c r="BG30" s="103"/>
      <c r="BH30" s="103"/>
      <c r="BI30" s="176"/>
      <c r="BJ30" s="160" t="s">
        <v>65</v>
      </c>
      <c r="BK30" s="160">
        <f>SIN($AJ$23*$BJ$8)</f>
        <v>0.5222329678670936</v>
      </c>
      <c r="BL30" s="160">
        <f>COS($AJ$23*$BJ$8)</f>
        <v>0.8528028654224417</v>
      </c>
      <c r="BM30" s="160">
        <f>TAN($AJ$23*$BJ$8)</f>
        <v>0.6123724356957946</v>
      </c>
      <c r="BN30" s="160"/>
      <c r="BO30" s="160"/>
      <c r="BP30" s="159"/>
    </row>
    <row r="31" spans="2:68" ht="12.75">
      <c r="B31" s="25"/>
      <c r="C31" s="21"/>
      <c r="D31" s="27" t="str">
        <f>IF(LEFT($G$14)="Y",$AE$25,$AB$25)</f>
        <v>C1</v>
      </c>
      <c r="E31" s="65">
        <f>IF(LEFT($G$14)="Y",$AF$25,$AC$25)</f>
        <v>30.00000000000001</v>
      </c>
      <c r="F31" s="19">
        <f>IF(LEFT($G$14)="Y",$AG$25,$AD$25)</f>
        <v>6.928203230265511</v>
      </c>
      <c r="G31" s="16"/>
      <c r="H31" s="2"/>
      <c r="I31" s="91" t="str">
        <f>$AK$89</f>
        <v>HIP / VALLEY meets PURLIN</v>
      </c>
      <c r="J31" s="16"/>
      <c r="K31" s="16"/>
      <c r="L31" s="13"/>
      <c r="M31" s="10"/>
      <c r="V31" s="103"/>
      <c r="W31" s="103"/>
      <c r="X31" s="103"/>
      <c r="Y31" s="103"/>
      <c r="Z31" s="103"/>
      <c r="AA31" s="103"/>
      <c r="AB31" s="160" t="str">
        <f t="shared" si="0"/>
        <v>P5</v>
      </c>
      <c r="AC31" s="160">
        <f t="shared" si="1"/>
        <v>35.264389682754654</v>
      </c>
      <c r="AD31" s="108">
        <f t="shared" si="2"/>
        <v>8.485281374228572</v>
      </c>
      <c r="AE31" s="160" t="str">
        <f t="shared" si="3"/>
        <v>90-P5</v>
      </c>
      <c r="AF31" s="160">
        <f t="shared" si="4"/>
        <v>54.735610317245346</v>
      </c>
      <c r="AG31" s="108">
        <f t="shared" si="5"/>
        <v>16.97056274846714</v>
      </c>
      <c r="AH31" s="161"/>
      <c r="AI31" s="109" t="str">
        <f>IF(LEFT($G$15)="Y","P6","P5")</f>
        <v>P5</v>
      </c>
      <c r="AJ31" s="104">
        <f>ATAN($BM$19*$BL$21)*$BJ$9</f>
        <v>35.264389682754654</v>
      </c>
      <c r="AK31" s="109" t="str">
        <f>IF(LEFT($G$15)="Y","90-P6","90-P5")</f>
        <v>90-P5</v>
      </c>
      <c r="AL31" s="104">
        <f>90-$AJ$31</f>
        <v>54.735610317245346</v>
      </c>
      <c r="AM31" s="110" t="str">
        <f>IF(LEFT($G$15)="Y","P6","P5")</f>
        <v>P5</v>
      </c>
      <c r="AN31" s="104">
        <f>ATAN($BM$20*$BL$22)*$BJ$9</f>
        <v>35.264389682754654</v>
      </c>
      <c r="AO31" s="110" t="str">
        <f>IF(LEFT($G$15)="Y","90-P6","90-P5")</f>
        <v>90-P5</v>
      </c>
      <c r="AP31" s="104">
        <f>90-$AN$31</f>
        <v>54.735610317245346</v>
      </c>
      <c r="AQ31" s="103"/>
      <c r="AR31" s="103"/>
      <c r="AS31" s="104" t="s">
        <v>36</v>
      </c>
      <c r="AT31" s="102">
        <f t="shared" si="12"/>
        <v>8.485281374228572</v>
      </c>
      <c r="AU31" s="108">
        <f t="shared" si="12"/>
        <v>8.485281374228572</v>
      </c>
      <c r="AV31" s="102">
        <f t="shared" si="13"/>
        <v>16.97056274846714</v>
      </c>
      <c r="AW31" s="108">
        <f t="shared" si="13"/>
        <v>16.97056274846714</v>
      </c>
      <c r="AX31" s="102"/>
      <c r="AY31" s="106" t="s">
        <v>36</v>
      </c>
      <c r="AZ31" s="102">
        <f t="shared" si="14"/>
        <v>8.485281374228572</v>
      </c>
      <c r="BA31" s="108">
        <f t="shared" si="14"/>
        <v>8.485281374228572</v>
      </c>
      <c r="BB31" s="102">
        <f t="shared" si="15"/>
        <v>16.97056274846714</v>
      </c>
      <c r="BC31" s="108">
        <f t="shared" si="15"/>
        <v>16.97056274846714</v>
      </c>
      <c r="BD31" s="103"/>
      <c r="BE31" s="103"/>
      <c r="BF31" s="103"/>
      <c r="BG31" s="103"/>
      <c r="BH31" s="103"/>
      <c r="BI31" s="176"/>
      <c r="BJ31" s="160" t="s">
        <v>66</v>
      </c>
      <c r="BK31" s="160">
        <f>SIN($AN$23*$BJ$8)</f>
        <v>0.5222329678670936</v>
      </c>
      <c r="BL31" s="160">
        <f>COS($AN$23*$BJ$8)</f>
        <v>0.8528028654224417</v>
      </c>
      <c r="BM31" s="160">
        <f>TAN($AN$23*$BJ$8)</f>
        <v>0.6123724356957946</v>
      </c>
      <c r="BN31" s="160"/>
      <c r="BO31" s="160"/>
      <c r="BP31" s="159"/>
    </row>
    <row r="32" spans="2:68" ht="12.75">
      <c r="B32" s="25"/>
      <c r="C32" s="21"/>
      <c r="D32" s="27" t="str">
        <f>IF(LEFT($G$14)="Y",$AE$28,$AB$28)</f>
        <v>A8</v>
      </c>
      <c r="E32" s="65">
        <f>IF(LEFT($G$14)="Y",$AF$28,$AC$28)</f>
        <v>10.024987862075742</v>
      </c>
      <c r="F32" s="19">
        <f>IF(LEFT($G$14)="Y",$AG$28,$AD$28)</f>
        <v>2.121320343549643</v>
      </c>
      <c r="G32" s="16"/>
      <c r="H32" s="2"/>
      <c r="I32" s="27" t="str">
        <f>IF(LEFT($G$14)="Y",$AE$23,$AB$23)</f>
        <v>R3</v>
      </c>
      <c r="J32" s="65">
        <f>IF(LEFT($G$14)="Y",$AF$23,$AC$23)</f>
        <v>31.48215410529386</v>
      </c>
      <c r="K32" s="19">
        <f>IF(LEFT($G$14)="Y",$AG$23,$AD$23)</f>
        <v>7.3484692283395345</v>
      </c>
      <c r="L32" s="13"/>
      <c r="M32" s="10"/>
      <c r="V32" s="103"/>
      <c r="W32" s="103"/>
      <c r="X32" s="103"/>
      <c r="Y32" s="103"/>
      <c r="Z32" s="103"/>
      <c r="AA32" s="103"/>
      <c r="AB32" s="160" t="str">
        <f t="shared" si="0"/>
        <v>P4BV</v>
      </c>
      <c r="AC32" s="160">
        <f t="shared" si="1"/>
        <v>16.77865488096036</v>
      </c>
      <c r="AD32" s="108">
        <f t="shared" si="2"/>
        <v>3.618136134923164</v>
      </c>
      <c r="AE32" s="160" t="str">
        <f t="shared" si="3"/>
        <v>90-P4BV</v>
      </c>
      <c r="AF32" s="160">
        <f t="shared" si="4"/>
        <v>73.22134511903964</v>
      </c>
      <c r="AG32" s="108">
        <f t="shared" si="5"/>
        <v>39.799497484254786</v>
      </c>
      <c r="AH32" s="161"/>
      <c r="AI32" s="104" t="s">
        <v>37</v>
      </c>
      <c r="AJ32" s="104">
        <f>ASIN($BL$26*$BK$28)*$BJ$9</f>
        <v>16.77865488096036</v>
      </c>
      <c r="AK32" s="104" t="s">
        <v>147</v>
      </c>
      <c r="AL32" s="104">
        <f>90-$AJ$32</f>
        <v>73.22134511903964</v>
      </c>
      <c r="AM32" s="115" t="s">
        <v>37</v>
      </c>
      <c r="AN32" s="104">
        <f>ASIN($BL$27*$BK$29)*$BJ$9</f>
        <v>16.77865488096036</v>
      </c>
      <c r="AO32" s="106" t="s">
        <v>147</v>
      </c>
      <c r="AP32" s="104">
        <f>90-$AN$32</f>
        <v>73.22134511903964</v>
      </c>
      <c r="AQ32" s="103"/>
      <c r="AR32" s="103"/>
      <c r="AS32" s="104" t="s">
        <v>37</v>
      </c>
      <c r="AT32" s="102">
        <f t="shared" si="12"/>
        <v>3.618136134923164</v>
      </c>
      <c r="AU32" s="108">
        <f t="shared" si="12"/>
        <v>3.618136134923164</v>
      </c>
      <c r="AV32" s="102">
        <f t="shared" si="13"/>
        <v>39.799497484254786</v>
      </c>
      <c r="AW32" s="108">
        <f t="shared" si="13"/>
        <v>39.799497484254786</v>
      </c>
      <c r="AX32" s="102"/>
      <c r="AY32" s="106" t="s">
        <v>37</v>
      </c>
      <c r="AZ32" s="102">
        <f t="shared" si="14"/>
        <v>3.618136134923164</v>
      </c>
      <c r="BA32" s="108">
        <f t="shared" si="14"/>
        <v>3.618136134923164</v>
      </c>
      <c r="BB32" s="102">
        <f t="shared" si="15"/>
        <v>39.799497484254786</v>
      </c>
      <c r="BC32" s="108">
        <f t="shared" si="15"/>
        <v>39.799497484254786</v>
      </c>
      <c r="BD32" s="103"/>
      <c r="BE32" s="103"/>
      <c r="BF32" s="103"/>
      <c r="BG32" s="103"/>
      <c r="BH32" s="103"/>
      <c r="BI32" s="176"/>
      <c r="BJ32" s="160"/>
      <c r="BK32" s="160"/>
      <c r="BL32" s="160"/>
      <c r="BM32" s="160"/>
      <c r="BN32" s="160"/>
      <c r="BO32" s="160"/>
      <c r="BP32" s="159"/>
    </row>
    <row r="33" spans="2:67" ht="12.75">
      <c r="B33" s="25"/>
      <c r="C33" s="21"/>
      <c r="D33" s="27" t="str">
        <f>IF(LEFT($G$14)="Y",$AE$30,$AB$30)</f>
        <v>P4</v>
      </c>
      <c r="E33" s="65">
        <f>IF(LEFT($G$14)="Y",$AF$30,$AC$30)</f>
        <v>25.23940182067892</v>
      </c>
      <c r="F33" s="19">
        <f>IF(LEFT($G$14)="Y",$AG$30,$AD$30)</f>
        <v>5.656854249482382</v>
      </c>
      <c r="G33" s="16"/>
      <c r="H33" s="2"/>
      <c r="I33" s="27" t="str">
        <f>IF(LEFT($G$14)="Y",$AE$24,$AB$24)</f>
        <v>P3</v>
      </c>
      <c r="J33" s="65">
        <f>IF(LEFT($G$14)="Y",$AF$24,$AC$24)</f>
        <v>25.239401820678914</v>
      </c>
      <c r="K33" s="19">
        <f>IF(LEFT($G$14)="Y",$AG$24,$AD$24)</f>
        <v>5.65685424948238</v>
      </c>
      <c r="L33" s="13"/>
      <c r="M33" s="10"/>
      <c r="V33" s="103"/>
      <c r="W33" s="103"/>
      <c r="X33" s="103"/>
      <c r="Y33" s="103"/>
      <c r="Z33" s="103"/>
      <c r="AA33" s="103"/>
      <c r="AB33" s="160" t="str">
        <f t="shared" si="0"/>
        <v>P5BV</v>
      </c>
      <c r="AC33" s="160">
        <f t="shared" si="1"/>
        <v>29.999999999999993</v>
      </c>
      <c r="AD33" s="108">
        <f t="shared" si="2"/>
        <v>6.928203230265506</v>
      </c>
      <c r="AE33" s="160" t="str">
        <f t="shared" si="3"/>
        <v>90-P5BV</v>
      </c>
      <c r="AF33" s="160">
        <f t="shared" si="4"/>
        <v>60.00000000000001</v>
      </c>
      <c r="AG33" s="108">
        <f t="shared" si="5"/>
        <v>20.78460969081653</v>
      </c>
      <c r="AH33" s="161"/>
      <c r="AI33" s="109" t="str">
        <f>IF(LEFT($G$15)="Y","A5P","P5BV")</f>
        <v>P5BV</v>
      </c>
      <c r="AJ33" s="104">
        <f>ASIN($BK$19*$BK$21)*$BJ$9</f>
        <v>29.999999999999993</v>
      </c>
      <c r="AK33" s="109" t="str">
        <f>IF(LEFT($G$15)="Y","90-A5P","90-P5BV")</f>
        <v>90-P5BV</v>
      </c>
      <c r="AL33" s="104">
        <f>90-$AJ$33</f>
        <v>60.00000000000001</v>
      </c>
      <c r="AM33" s="110" t="str">
        <f>IF(LEFT($G$15)="Y","A5P","P5BV")</f>
        <v>P5BV</v>
      </c>
      <c r="AN33" s="104">
        <f>ASIN($BK$20*$BK$22)*$BJ$9</f>
        <v>29.999999999999993</v>
      </c>
      <c r="AO33" s="110" t="str">
        <f>IF(LEFT($G$15)="Y","90-A5P","90-P5BV")</f>
        <v>90-P5BV</v>
      </c>
      <c r="AP33" s="104">
        <f>90-$AN$33</f>
        <v>60.00000000000001</v>
      </c>
      <c r="AQ33" s="103"/>
      <c r="AR33" s="103"/>
      <c r="AS33" s="104" t="s">
        <v>38</v>
      </c>
      <c r="AT33" s="102">
        <f t="shared" si="12"/>
        <v>6.928203230265506</v>
      </c>
      <c r="AU33" s="108">
        <f t="shared" si="12"/>
        <v>6.928203230265506</v>
      </c>
      <c r="AV33" s="102">
        <f t="shared" si="13"/>
        <v>20.78460969081653</v>
      </c>
      <c r="AW33" s="108">
        <f t="shared" si="13"/>
        <v>20.78460969081653</v>
      </c>
      <c r="AX33" s="102"/>
      <c r="AY33" s="106" t="s">
        <v>38</v>
      </c>
      <c r="AZ33" s="102">
        <f t="shared" si="14"/>
        <v>6.928203230265506</v>
      </c>
      <c r="BA33" s="108">
        <f t="shared" si="14"/>
        <v>6.928203230265506</v>
      </c>
      <c r="BB33" s="102">
        <f t="shared" si="15"/>
        <v>20.78460969081653</v>
      </c>
      <c r="BC33" s="108">
        <f t="shared" si="15"/>
        <v>20.78460969081653</v>
      </c>
      <c r="BD33" s="103"/>
      <c r="BE33" s="103"/>
      <c r="BF33" s="103"/>
      <c r="BG33" s="103"/>
      <c r="BH33" s="103"/>
      <c r="BI33" s="176"/>
      <c r="BJ33" s="160" t="s">
        <v>50</v>
      </c>
      <c r="BK33" s="160"/>
      <c r="BL33" s="160">
        <f>COS($AJ$13*$BJ$8)</f>
        <v>0.7745966692414833</v>
      </c>
      <c r="BM33" s="160"/>
      <c r="BN33" s="160"/>
      <c r="BO33" s="160"/>
    </row>
    <row r="34" spans="2:67" ht="12.75">
      <c r="B34" s="25"/>
      <c r="C34" s="21"/>
      <c r="D34" s="27" t="str">
        <f>IF(LEFT($G$14)="Y",$AE$32,$AB$32)</f>
        <v>P4BV</v>
      </c>
      <c r="E34" s="65">
        <f>IF(LEFT($G$14)="Y",$AF$32,$AC$32)</f>
        <v>16.77865488096036</v>
      </c>
      <c r="F34" s="19">
        <f>IF(LEFT($G$14)="Y",$AG$32,$AD$32)</f>
        <v>3.618136134923164</v>
      </c>
      <c r="G34" s="16"/>
      <c r="H34" s="17"/>
      <c r="I34" s="27" t="str">
        <f>IF(LEFT($G$14)="Y",$AE$26,$AB$26)</f>
        <v>C2</v>
      </c>
      <c r="J34" s="65">
        <f>IF(LEFT($G$14)="Y",$AF$26,$AC$26)</f>
        <v>16.77865488096036</v>
      </c>
      <c r="K34" s="19">
        <f>IF(LEFT($G$14)="Y",$AG$26,$AD$26)</f>
        <v>3.618136134923164</v>
      </c>
      <c r="L34" s="13"/>
      <c r="M34" s="10"/>
      <c r="V34" s="103"/>
      <c r="W34" s="103"/>
      <c r="X34" s="103"/>
      <c r="Y34" s="103"/>
      <c r="Z34" s="103"/>
      <c r="AA34" s="103"/>
      <c r="AB34" s="160" t="str">
        <f t="shared" si="0"/>
        <v>A7</v>
      </c>
      <c r="AC34" s="160">
        <f t="shared" si="1"/>
        <v>35.264389682754654</v>
      </c>
      <c r="AD34" s="108">
        <f t="shared" si="2"/>
        <v>8.485281374228572</v>
      </c>
      <c r="AE34" s="160" t="str">
        <f t="shared" si="3"/>
        <v>90-A7</v>
      </c>
      <c r="AF34" s="160">
        <f t="shared" si="4"/>
        <v>54.735610317245346</v>
      </c>
      <c r="AG34" s="108">
        <f t="shared" si="5"/>
        <v>16.97056274846714</v>
      </c>
      <c r="AH34" s="161"/>
      <c r="AI34" s="109" t="str">
        <f>IF(LEFT($G$15)="Y","90-R4P","A7")</f>
        <v>A7</v>
      </c>
      <c r="AJ34" s="104">
        <f>ATAN($BM$21*$BL$19)*$BJ$9</f>
        <v>35.264389682754654</v>
      </c>
      <c r="AK34" s="109" t="str">
        <f>IF(LEFT($G$15)="Y","R4P","90-A7")</f>
        <v>90-A7</v>
      </c>
      <c r="AL34" s="104">
        <f>90-$AJ$34</f>
        <v>54.735610317245346</v>
      </c>
      <c r="AM34" s="110" t="str">
        <f>IF(LEFT($G$15)="Y","90-R4P","A7")</f>
        <v>A7</v>
      </c>
      <c r="AN34" s="104">
        <f>ATAN($BM$22*$BL$20)*$BJ$9</f>
        <v>35.264389682754654</v>
      </c>
      <c r="AO34" s="110" t="str">
        <f>IF(LEFT($G$15)="Y","R4P","90-A7")</f>
        <v>90-A7</v>
      </c>
      <c r="AP34" s="104">
        <f>90-$AN$34</f>
        <v>54.735610317245346</v>
      </c>
      <c r="AQ34" s="103"/>
      <c r="AR34" s="103"/>
      <c r="AS34" s="104" t="s">
        <v>39</v>
      </c>
      <c r="AT34" s="102">
        <f t="shared" si="12"/>
        <v>8.485281374228572</v>
      </c>
      <c r="AU34" s="108">
        <f t="shared" si="12"/>
        <v>8.485281374228572</v>
      </c>
      <c r="AV34" s="102">
        <f t="shared" si="13"/>
        <v>16.97056274846714</v>
      </c>
      <c r="AW34" s="108">
        <f t="shared" si="13"/>
        <v>16.97056274846714</v>
      </c>
      <c r="AX34" s="102"/>
      <c r="AY34" s="106" t="s">
        <v>39</v>
      </c>
      <c r="AZ34" s="102">
        <f t="shared" si="14"/>
        <v>8.485281374228572</v>
      </c>
      <c r="BA34" s="108">
        <f t="shared" si="14"/>
        <v>8.485281374228572</v>
      </c>
      <c r="BB34" s="102">
        <f t="shared" si="15"/>
        <v>16.97056274846714</v>
      </c>
      <c r="BC34" s="108">
        <f t="shared" si="15"/>
        <v>16.97056274846714</v>
      </c>
      <c r="BD34" s="103"/>
      <c r="BE34" s="103"/>
      <c r="BF34" s="103"/>
      <c r="BG34" s="103"/>
      <c r="BH34" s="103"/>
      <c r="BI34" s="176"/>
      <c r="BJ34" s="160" t="s">
        <v>51</v>
      </c>
      <c r="BK34" s="160"/>
      <c r="BL34" s="160">
        <f>COS($AN$13*$BJ$8)</f>
        <v>0.7745966692414833</v>
      </c>
      <c r="BM34" s="160"/>
      <c r="BN34" s="160"/>
      <c r="BO34" s="160"/>
    </row>
    <row r="35" spans="2:67" ht="12.75">
      <c r="B35" s="25"/>
      <c r="C35" s="21"/>
      <c r="D35" s="27" t="str">
        <f>IF(LEFT($G$14)="Y",$AE$35,$AB$35)</f>
        <v>Q1</v>
      </c>
      <c r="E35" s="65">
        <f>IF(LEFT($G$14)="Y",$AF$35,$AC$35)</f>
        <v>58.51784589470614</v>
      </c>
      <c r="F35" s="19">
        <f>IF(LEFT($G$14)="Y",$AG$35,$AD$35)</f>
        <v>19.59591794225542</v>
      </c>
      <c r="G35" s="16"/>
      <c r="H35" s="16"/>
      <c r="I35" s="27" t="str">
        <f>IF(LEFT($G$14)="Y",$AE$27,$AB$27)</f>
        <v>R7</v>
      </c>
      <c r="J35" s="65">
        <f>IF(LEFT($G$14)="Y",$AF$27,$AC$27)</f>
        <v>14.420068106472765</v>
      </c>
      <c r="K35" s="19">
        <f>IF(LEFT($G$14)="Y",$AG$27,$AD$27)</f>
        <v>3.0855568633494803</v>
      </c>
      <c r="L35" s="13"/>
      <c r="M35" s="10"/>
      <c r="V35" s="103"/>
      <c r="W35" s="103"/>
      <c r="X35" s="103"/>
      <c r="Y35" s="103"/>
      <c r="Z35" s="103"/>
      <c r="AA35" s="103"/>
      <c r="AB35" s="160" t="str">
        <f t="shared" si="0"/>
        <v>Q1</v>
      </c>
      <c r="AC35" s="160">
        <f t="shared" si="1"/>
        <v>58.51784589470614</v>
      </c>
      <c r="AD35" s="108">
        <f t="shared" si="2"/>
        <v>19.59591794225542</v>
      </c>
      <c r="AE35" s="160" t="str">
        <f t="shared" si="3"/>
        <v>90-Q1</v>
      </c>
      <c r="AF35" s="160">
        <f t="shared" si="4"/>
        <v>31.48215410529386</v>
      </c>
      <c r="AG35" s="108">
        <f t="shared" si="5"/>
        <v>7.3484692283395345</v>
      </c>
      <c r="AH35" s="160"/>
      <c r="AI35" s="104" t="s">
        <v>40</v>
      </c>
      <c r="AJ35" s="104">
        <f>ATAN($BL$28/$BM$26)*$BJ$9</f>
        <v>58.51784589470614</v>
      </c>
      <c r="AK35" s="104" t="s">
        <v>148</v>
      </c>
      <c r="AL35" s="104">
        <f>90-$AJ$35</f>
        <v>31.48215410529386</v>
      </c>
      <c r="AM35" s="106" t="s">
        <v>40</v>
      </c>
      <c r="AN35" s="104">
        <f>ATAN($BL$29/$BM$27)*$BJ$9</f>
        <v>58.51784589470614</v>
      </c>
      <c r="AO35" s="106" t="s">
        <v>148</v>
      </c>
      <c r="AP35" s="104">
        <f>90-$AN$35</f>
        <v>31.48215410529386</v>
      </c>
      <c r="AQ35" s="103"/>
      <c r="AR35" s="103"/>
      <c r="AS35" s="104" t="s">
        <v>40</v>
      </c>
      <c r="AT35" s="102">
        <f t="shared" si="12"/>
        <v>19.59591794225542</v>
      </c>
      <c r="AU35" s="108">
        <f t="shared" si="12"/>
        <v>19.59591794225542</v>
      </c>
      <c r="AV35" s="102">
        <f t="shared" si="13"/>
        <v>7.3484692283395345</v>
      </c>
      <c r="AW35" s="108">
        <f t="shared" si="13"/>
        <v>7.3484692283395345</v>
      </c>
      <c r="AX35" s="102"/>
      <c r="AY35" s="106" t="s">
        <v>40</v>
      </c>
      <c r="AZ35" s="102">
        <f t="shared" si="14"/>
        <v>19.59591794225542</v>
      </c>
      <c r="BA35" s="108">
        <f t="shared" si="14"/>
        <v>19.59591794225542</v>
      </c>
      <c r="BB35" s="102">
        <f t="shared" si="15"/>
        <v>7.3484692283395345</v>
      </c>
      <c r="BC35" s="108">
        <f t="shared" si="15"/>
        <v>7.3484692283395345</v>
      </c>
      <c r="BD35" s="103"/>
      <c r="BE35" s="103"/>
      <c r="BF35" s="103"/>
      <c r="BG35" s="103"/>
      <c r="BH35" s="103"/>
      <c r="BI35" s="176"/>
      <c r="BJ35" s="160" t="s">
        <v>54</v>
      </c>
      <c r="BK35" s="160"/>
      <c r="BL35" s="160">
        <f>TAN($AJ$13*$BJ$8)</f>
        <v>0.8164965809277263</v>
      </c>
      <c r="BM35" s="160"/>
      <c r="BN35" s="160"/>
      <c r="BO35" s="160"/>
    </row>
    <row r="36" spans="2:67" ht="12.75">
      <c r="B36" s="25"/>
      <c r="C36" s="21"/>
      <c r="D36" s="27" t="str">
        <f>IF(LEFT($G$14)="Y",$AE$37,$AB$37)</f>
        <v>Q3</v>
      </c>
      <c r="E36" s="65">
        <f>IF(LEFT($G$14)="Y",$AF$37,$AC$37)</f>
        <v>54.735610317245346</v>
      </c>
      <c r="F36" s="19">
        <f>IF(LEFT($G$14)="Y",$AG$37,$AD$37)</f>
        <v>16.97056274846714</v>
      </c>
      <c r="G36" s="16"/>
      <c r="H36" s="16"/>
      <c r="I36" s="27" t="str">
        <f>IF(LEFT($G$14)="Y",$AE$41,$AB$41)</f>
        <v>R7BV</v>
      </c>
      <c r="J36" s="65">
        <f>IF(LEFT($G$14)="Y",$AF$41,$AC$41)</f>
        <v>8.670721401379884</v>
      </c>
      <c r="K36" s="19">
        <f>IF(LEFT($G$14)="Y",$AG$41,$AD$41)</f>
        <v>1.8299828439812562</v>
      </c>
      <c r="L36" s="13"/>
      <c r="M36" s="10"/>
      <c r="V36" s="103"/>
      <c r="W36" s="103"/>
      <c r="X36" s="103"/>
      <c r="Y36" s="103"/>
      <c r="Z36" s="103"/>
      <c r="AA36" s="103"/>
      <c r="AB36" s="160" t="str">
        <f t="shared" si="0"/>
        <v>Q2</v>
      </c>
      <c r="AC36" s="160">
        <f t="shared" si="1"/>
        <v>79.97501213792425</v>
      </c>
      <c r="AD36" s="108">
        <f t="shared" si="2"/>
        <v>67.8822509938985</v>
      </c>
      <c r="AE36" s="160" t="str">
        <f t="shared" si="3"/>
        <v>90-Q2</v>
      </c>
      <c r="AF36" s="160">
        <f t="shared" si="4"/>
        <v>10.024987862075747</v>
      </c>
      <c r="AG36" s="108">
        <f t="shared" si="5"/>
        <v>2.1213203435496437</v>
      </c>
      <c r="AH36" s="160"/>
      <c r="AI36" s="104" t="s">
        <v>41</v>
      </c>
      <c r="AJ36" s="104">
        <f>ATAN(1/($BM$30*$BK$51))*$BJ$9</f>
        <v>79.97501213792425</v>
      </c>
      <c r="AK36" s="104" t="s">
        <v>149</v>
      </c>
      <c r="AL36" s="104">
        <f>90-$AJ$36</f>
        <v>10.024987862075747</v>
      </c>
      <c r="AM36" s="106" t="s">
        <v>41</v>
      </c>
      <c r="AN36" s="104">
        <f>ATAN(1/($BM$31*$BK$52))*$BJ$9</f>
        <v>79.97501213792425</v>
      </c>
      <c r="AO36" s="106" t="s">
        <v>149</v>
      </c>
      <c r="AP36" s="104">
        <f>90-$AN$36</f>
        <v>10.024987862075747</v>
      </c>
      <c r="AQ36" s="103"/>
      <c r="AR36" s="103"/>
      <c r="AS36" s="104" t="s">
        <v>41</v>
      </c>
      <c r="AT36" s="102">
        <f t="shared" si="12"/>
        <v>67.8822509938985</v>
      </c>
      <c r="AU36" s="108">
        <f t="shared" si="12"/>
        <v>67.8822509938985</v>
      </c>
      <c r="AV36" s="102">
        <f t="shared" si="13"/>
        <v>2.1213203435496437</v>
      </c>
      <c r="AW36" s="108">
        <f t="shared" si="13"/>
        <v>2.1213203435496437</v>
      </c>
      <c r="AX36" s="102"/>
      <c r="AY36" s="106" t="s">
        <v>41</v>
      </c>
      <c r="AZ36" s="102">
        <f t="shared" si="14"/>
        <v>67.8822509938985</v>
      </c>
      <c r="BA36" s="108">
        <f t="shared" si="14"/>
        <v>67.8822509938985</v>
      </c>
      <c r="BB36" s="102">
        <f t="shared" si="15"/>
        <v>2.1213203435496437</v>
      </c>
      <c r="BC36" s="108">
        <f t="shared" si="15"/>
        <v>2.1213203435496437</v>
      </c>
      <c r="BD36" s="103"/>
      <c r="BE36" s="103"/>
      <c r="BF36" s="103"/>
      <c r="BG36" s="103"/>
      <c r="BH36" s="103"/>
      <c r="BI36" s="111"/>
      <c r="BJ36" s="103" t="s">
        <v>55</v>
      </c>
      <c r="BK36" s="103"/>
      <c r="BL36" s="103">
        <f>TAN($AN$13*$BJ$8)</f>
        <v>0.8164965809277263</v>
      </c>
      <c r="BM36" s="103"/>
      <c r="BN36" s="103"/>
      <c r="BO36" s="103"/>
    </row>
    <row r="37" spans="2:67" ht="12.75">
      <c r="B37" s="25"/>
      <c r="C37" s="21"/>
      <c r="D37" s="2"/>
      <c r="E37" s="2"/>
      <c r="F37" s="2"/>
      <c r="G37" s="16"/>
      <c r="H37" s="16"/>
      <c r="I37" s="27" t="str">
        <f>IF(LEFT($G$14)="Y",$AE$36,$AB$36)</f>
        <v>Q2</v>
      </c>
      <c r="J37" s="65">
        <f>IF(LEFT($G$14)="Y",$AF$36,$AC$36)</f>
        <v>79.97501213792425</v>
      </c>
      <c r="K37" s="19">
        <f>IF(LEFT($G$14)="Y",$AG$36,$AD$36)</f>
        <v>67.8822509938985</v>
      </c>
      <c r="L37" s="13"/>
      <c r="M37" s="10"/>
      <c r="V37" s="103"/>
      <c r="W37" s="114"/>
      <c r="X37" s="103"/>
      <c r="Y37" s="103"/>
      <c r="Z37" s="103"/>
      <c r="AA37" s="103"/>
      <c r="AB37" s="160" t="str">
        <f t="shared" si="0"/>
        <v>Q3</v>
      </c>
      <c r="AC37" s="160">
        <f t="shared" si="1"/>
        <v>54.735610317245346</v>
      </c>
      <c r="AD37" s="108">
        <f t="shared" si="2"/>
        <v>16.97056274846714</v>
      </c>
      <c r="AE37" s="160" t="str">
        <f t="shared" si="3"/>
        <v>90-Q3</v>
      </c>
      <c r="AF37" s="160">
        <f t="shared" si="4"/>
        <v>35.264389682754654</v>
      </c>
      <c r="AG37" s="108">
        <f t="shared" si="5"/>
        <v>8.485281374228572</v>
      </c>
      <c r="AH37" s="160"/>
      <c r="AI37" s="104" t="s">
        <v>124</v>
      </c>
      <c r="AJ37" s="104">
        <f>ATAN($BM$21/$BK$19)*$BJ$9</f>
        <v>54.735610317245346</v>
      </c>
      <c r="AK37" s="104" t="s">
        <v>150</v>
      </c>
      <c r="AL37" s="104">
        <f>90-$AJ$37</f>
        <v>35.264389682754654</v>
      </c>
      <c r="AM37" s="106" t="s">
        <v>124</v>
      </c>
      <c r="AN37" s="104">
        <f>ATAN($BM$22/$BK$20)*$BJ$9</f>
        <v>54.735610317245346</v>
      </c>
      <c r="AO37" s="106" t="s">
        <v>150</v>
      </c>
      <c r="AP37" s="104">
        <f>90-$AN$37</f>
        <v>35.264389682754654</v>
      </c>
      <c r="AQ37" s="103"/>
      <c r="AR37" s="103"/>
      <c r="AS37" s="104" t="s">
        <v>124</v>
      </c>
      <c r="AT37" s="102">
        <f t="shared" si="12"/>
        <v>16.97056274846714</v>
      </c>
      <c r="AU37" s="108">
        <f t="shared" si="12"/>
        <v>16.97056274846714</v>
      </c>
      <c r="AV37" s="102">
        <f t="shared" si="13"/>
        <v>8.485281374228572</v>
      </c>
      <c r="AW37" s="108">
        <f t="shared" si="13"/>
        <v>8.485281374228572</v>
      </c>
      <c r="AX37" s="102"/>
      <c r="AY37" s="106" t="s">
        <v>124</v>
      </c>
      <c r="AZ37" s="102">
        <f t="shared" si="14"/>
        <v>16.97056274846714</v>
      </c>
      <c r="BA37" s="108">
        <f t="shared" si="14"/>
        <v>16.97056274846714</v>
      </c>
      <c r="BB37" s="102">
        <f t="shared" si="15"/>
        <v>8.485281374228572</v>
      </c>
      <c r="BC37" s="108">
        <f t="shared" si="15"/>
        <v>8.485281374228572</v>
      </c>
      <c r="BD37" s="103"/>
      <c r="BE37" s="103"/>
      <c r="BF37" s="103"/>
      <c r="BG37" s="103"/>
      <c r="BH37" s="103"/>
      <c r="BI37" s="111"/>
      <c r="BJ37" s="103" t="s">
        <v>56</v>
      </c>
      <c r="BK37" s="103"/>
      <c r="BL37" s="103">
        <f>SIN($AJ$17*$BJ$8)</f>
        <v>0.40824829046386313</v>
      </c>
      <c r="BM37" s="103"/>
      <c r="BN37" s="103"/>
      <c r="BO37" s="103"/>
    </row>
    <row r="38" spans="2:67" ht="12.75">
      <c r="B38" s="25"/>
      <c r="C38" s="21"/>
      <c r="D38" s="2"/>
      <c r="E38" s="26" t="s">
        <v>163</v>
      </c>
      <c r="F38" s="2"/>
      <c r="G38" s="16"/>
      <c r="H38" s="16"/>
      <c r="I38" s="27" t="str">
        <f>IF(LEFT($G$14)="Y",$AE$38,$AB$38)</f>
        <v>Q4</v>
      </c>
      <c r="J38" s="65">
        <f>IF(LEFT($G$14)="Y",$AF$38,$AC$38)</f>
        <v>7.749366378298403</v>
      </c>
      <c r="K38" s="19">
        <f>IF(LEFT($G$14)="Y",$AG$38,$AD$38)</f>
        <v>1.6329931618454525</v>
      </c>
      <c r="L38" s="13"/>
      <c r="M38" s="10"/>
      <c r="V38" s="103"/>
      <c r="W38" s="103"/>
      <c r="X38" s="103"/>
      <c r="Y38" s="103"/>
      <c r="Z38" s="103"/>
      <c r="AA38" s="103"/>
      <c r="AB38" s="160" t="str">
        <f t="shared" si="0"/>
        <v>Q4</v>
      </c>
      <c r="AC38" s="160">
        <f t="shared" si="1"/>
        <v>7.749366378298403</v>
      </c>
      <c r="AD38" s="108">
        <f t="shared" si="2"/>
        <v>1.6329931618454525</v>
      </c>
      <c r="AE38" s="160" t="str">
        <f t="shared" si="3"/>
        <v>90-Q4</v>
      </c>
      <c r="AF38" s="160">
        <f t="shared" si="4"/>
        <v>82.2506336217016</v>
      </c>
      <c r="AG38" s="108">
        <f t="shared" si="5"/>
        <v>88.1816307401843</v>
      </c>
      <c r="AH38" s="160"/>
      <c r="AI38" s="104" t="s">
        <v>125</v>
      </c>
      <c r="AJ38" s="104">
        <f>ATAN($BK$49*$BK$51)*$BJ$9</f>
        <v>7.749366378298403</v>
      </c>
      <c r="AK38" s="104" t="s">
        <v>151</v>
      </c>
      <c r="AL38" s="104">
        <f>90-$AJ$38</f>
        <v>82.2506336217016</v>
      </c>
      <c r="AM38" s="106" t="s">
        <v>125</v>
      </c>
      <c r="AN38" s="104">
        <f>ATAN($BK$50*$BK$52)*$BJ$9</f>
        <v>7.749366378298403</v>
      </c>
      <c r="AO38" s="106" t="s">
        <v>151</v>
      </c>
      <c r="AP38" s="104">
        <f>90-$AN$38</f>
        <v>82.2506336217016</v>
      </c>
      <c r="AQ38" s="103"/>
      <c r="AR38" s="103"/>
      <c r="AS38" s="104" t="s">
        <v>125</v>
      </c>
      <c r="AT38" s="102">
        <f t="shared" si="12"/>
        <v>1.6329931618454525</v>
      </c>
      <c r="AU38" s="108">
        <f t="shared" si="12"/>
        <v>1.6329931618454525</v>
      </c>
      <c r="AV38" s="102">
        <f t="shared" si="13"/>
        <v>88.1816307401843</v>
      </c>
      <c r="AW38" s="108">
        <f t="shared" si="13"/>
        <v>88.1816307401843</v>
      </c>
      <c r="AX38" s="102"/>
      <c r="AY38" s="106" t="s">
        <v>125</v>
      </c>
      <c r="AZ38" s="102">
        <f t="shared" si="14"/>
        <v>1.6329931618454525</v>
      </c>
      <c r="BA38" s="108">
        <f t="shared" si="14"/>
        <v>1.6329931618454525</v>
      </c>
      <c r="BB38" s="102">
        <f t="shared" si="15"/>
        <v>88.1816307401843</v>
      </c>
      <c r="BC38" s="108">
        <f t="shared" si="15"/>
        <v>88.1816307401843</v>
      </c>
      <c r="BD38" s="103"/>
      <c r="BE38" s="103"/>
      <c r="BF38" s="103"/>
      <c r="BG38" s="103"/>
      <c r="BH38" s="103"/>
      <c r="BI38" s="111"/>
      <c r="BJ38" s="103" t="s">
        <v>57</v>
      </c>
      <c r="BK38" s="103"/>
      <c r="BL38" s="103">
        <f>SIN($AN$17*$BJ$8)</f>
        <v>0.40824829046386313</v>
      </c>
      <c r="BM38" s="103"/>
      <c r="BN38" s="103"/>
      <c r="BO38" s="103"/>
    </row>
    <row r="39" spans="2:67" ht="12.75">
      <c r="B39" s="25"/>
      <c r="C39" s="21"/>
      <c r="D39" s="2"/>
      <c r="E39" s="26" t="s">
        <v>159</v>
      </c>
      <c r="F39" s="2"/>
      <c r="G39" s="16"/>
      <c r="H39" s="16"/>
      <c r="I39" s="27" t="str">
        <f>IF(LEFT($G$14)="Y",$AE$39,$AB$39)</f>
        <v>VP</v>
      </c>
      <c r="J39" s="65">
        <f>IF(LEFT($G$14)="Y",$AF$39,$AC$39)</f>
        <v>59.6168200113055</v>
      </c>
      <c r="K39" s="19">
        <f>IF(LEFT($G$14)="Y",$AG$39,$AD$39)</f>
        <v>20.467268770128594</v>
      </c>
      <c r="L39" s="13"/>
      <c r="M39" s="10"/>
      <c r="V39" s="103"/>
      <c r="W39" s="103"/>
      <c r="X39" s="103"/>
      <c r="Y39" s="103"/>
      <c r="Z39" s="103"/>
      <c r="AA39" s="103"/>
      <c r="AB39" s="160" t="str">
        <f t="shared" si="0"/>
        <v>VP</v>
      </c>
      <c r="AC39" s="160">
        <f t="shared" si="1"/>
        <v>59.6168200113055</v>
      </c>
      <c r="AD39" s="108">
        <f t="shared" si="2"/>
        <v>20.467268770128594</v>
      </c>
      <c r="AE39" s="160" t="str">
        <f t="shared" si="3"/>
        <v>90-VP</v>
      </c>
      <c r="AF39" s="160">
        <f t="shared" si="4"/>
        <v>30.3831799886945</v>
      </c>
      <c r="AG39" s="108">
        <f t="shared" si="5"/>
        <v>7.035623639725144</v>
      </c>
      <c r="AH39" s="160"/>
      <c r="AI39" s="104" t="s">
        <v>42</v>
      </c>
      <c r="AJ39" s="104">
        <f>ACOS($BK$30*$BK$57)*$BJ$9</f>
        <v>59.6168200113055</v>
      </c>
      <c r="AK39" s="104" t="s">
        <v>152</v>
      </c>
      <c r="AL39" s="104">
        <f>90-$AJ$39</f>
        <v>30.3831799886945</v>
      </c>
      <c r="AM39" s="106" t="s">
        <v>42</v>
      </c>
      <c r="AN39" s="104">
        <f>ACOS($BK$31*$BK$58)*$BJ$9</f>
        <v>59.6168200113055</v>
      </c>
      <c r="AO39" s="106" t="s">
        <v>152</v>
      </c>
      <c r="AP39" s="104">
        <f>90-$AN$39</f>
        <v>30.3831799886945</v>
      </c>
      <c r="AQ39" s="103"/>
      <c r="AR39" s="103"/>
      <c r="AS39" s="104" t="s">
        <v>42</v>
      </c>
      <c r="AT39" s="102">
        <f t="shared" si="12"/>
        <v>20.467268770128594</v>
      </c>
      <c r="AU39" s="108">
        <f t="shared" si="12"/>
        <v>20.467268770128594</v>
      </c>
      <c r="AV39" s="102">
        <f t="shared" si="13"/>
        <v>7.035623639725144</v>
      </c>
      <c r="AW39" s="108">
        <f t="shared" si="13"/>
        <v>7.035623639725144</v>
      </c>
      <c r="AX39" s="102"/>
      <c r="AY39" s="106" t="s">
        <v>42</v>
      </c>
      <c r="AZ39" s="102">
        <f t="shared" si="14"/>
        <v>20.467268770128594</v>
      </c>
      <c r="BA39" s="108">
        <f t="shared" si="14"/>
        <v>20.467268770128594</v>
      </c>
      <c r="BB39" s="102">
        <f t="shared" si="15"/>
        <v>7.035623639725144</v>
      </c>
      <c r="BC39" s="108">
        <f t="shared" si="15"/>
        <v>7.035623639725144</v>
      </c>
      <c r="BD39" s="103"/>
      <c r="BE39" s="103"/>
      <c r="BF39" s="103"/>
      <c r="BG39" s="103"/>
      <c r="BH39" s="103"/>
      <c r="BI39" s="111"/>
      <c r="BJ39" s="103" t="s">
        <v>58</v>
      </c>
      <c r="BK39" s="103"/>
      <c r="BL39" s="103">
        <f>COS($AJ$17*$BJ$8)</f>
        <v>0.9128709291752768</v>
      </c>
      <c r="BM39" s="103"/>
      <c r="BN39" s="103"/>
      <c r="BO39" s="103"/>
    </row>
    <row r="40" spans="2:67" ht="12.75">
      <c r="B40" s="25"/>
      <c r="C40" s="21"/>
      <c r="D40" s="2"/>
      <c r="E40" s="5" t="s">
        <v>160</v>
      </c>
      <c r="F40" s="2"/>
      <c r="G40" s="16"/>
      <c r="H40" s="16"/>
      <c r="I40" s="2"/>
      <c r="J40" s="2"/>
      <c r="K40" s="2"/>
      <c r="L40" s="13"/>
      <c r="M40" s="10"/>
      <c r="V40" s="103"/>
      <c r="W40" s="103"/>
      <c r="X40" s="103"/>
      <c r="Y40" s="103"/>
      <c r="Z40" s="103"/>
      <c r="AA40" s="103"/>
      <c r="AB40" s="160" t="str">
        <f t="shared" si="0"/>
        <v>VC</v>
      </c>
      <c r="AC40" s="160">
        <f t="shared" si="1"/>
        <v>41.81031489577861</v>
      </c>
      <c r="AD40" s="108">
        <f t="shared" si="2"/>
        <v>10.733126291988995</v>
      </c>
      <c r="AE40" s="160" t="str">
        <f t="shared" si="3"/>
        <v>90-VC</v>
      </c>
      <c r="AF40" s="160">
        <f t="shared" si="4"/>
        <v>48.18968510422139</v>
      </c>
      <c r="AG40" s="108">
        <f t="shared" si="5"/>
        <v>13.416407864988733</v>
      </c>
      <c r="AH40" s="160"/>
      <c r="AI40" s="104" t="s">
        <v>43</v>
      </c>
      <c r="AJ40" s="104">
        <f>ATAN($BL$35/$BL$39)*$BJ$9</f>
        <v>41.81031489577861</v>
      </c>
      <c r="AK40" s="104" t="s">
        <v>153</v>
      </c>
      <c r="AL40" s="104">
        <f>90-$AJ$40</f>
        <v>48.18968510422139</v>
      </c>
      <c r="AM40" s="106" t="s">
        <v>43</v>
      </c>
      <c r="AN40" s="104">
        <f>ATAN($BL$36/$BL$40)*$BJ$9</f>
        <v>41.81031489577861</v>
      </c>
      <c r="AO40" s="106" t="s">
        <v>153</v>
      </c>
      <c r="AP40" s="104">
        <f>90-$AN$40</f>
        <v>48.18968510422139</v>
      </c>
      <c r="AQ40" s="103"/>
      <c r="AR40" s="103"/>
      <c r="AS40" s="104" t="s">
        <v>43</v>
      </c>
      <c r="AT40" s="102">
        <f t="shared" si="12"/>
        <v>10.733126291988995</v>
      </c>
      <c r="AU40" s="108">
        <f t="shared" si="12"/>
        <v>10.733126291988995</v>
      </c>
      <c r="AV40" s="102">
        <f t="shared" si="13"/>
        <v>13.416407864988733</v>
      </c>
      <c r="AW40" s="108">
        <f t="shared" si="13"/>
        <v>13.416407864988733</v>
      </c>
      <c r="AX40" s="102"/>
      <c r="AY40" s="106" t="s">
        <v>43</v>
      </c>
      <c r="AZ40" s="102">
        <f t="shared" si="14"/>
        <v>10.733126291988995</v>
      </c>
      <c r="BA40" s="108">
        <f t="shared" si="14"/>
        <v>10.733126291988995</v>
      </c>
      <c r="BB40" s="102">
        <f t="shared" si="15"/>
        <v>13.416407864988733</v>
      </c>
      <c r="BC40" s="108">
        <f t="shared" si="15"/>
        <v>13.416407864988733</v>
      </c>
      <c r="BD40" s="103"/>
      <c r="BE40" s="103"/>
      <c r="BF40" s="103"/>
      <c r="BG40" s="103"/>
      <c r="BH40" s="103"/>
      <c r="BI40" s="111"/>
      <c r="BJ40" s="103" t="s">
        <v>59</v>
      </c>
      <c r="BK40" s="103"/>
      <c r="BL40" s="103">
        <f>COS($AN$17*$BJ$8)</f>
        <v>0.9128709291752768</v>
      </c>
      <c r="BM40" s="103"/>
      <c r="BN40" s="103"/>
      <c r="BO40" s="103"/>
    </row>
    <row r="41" spans="2:67" ht="12.75">
      <c r="B41" s="25"/>
      <c r="C41" s="22"/>
      <c r="D41" s="14"/>
      <c r="E41" s="14"/>
      <c r="F41" s="20"/>
      <c r="G41" s="20"/>
      <c r="H41" s="14"/>
      <c r="I41" s="14"/>
      <c r="J41" s="14"/>
      <c r="K41" s="23"/>
      <c r="L41" s="24"/>
      <c r="M41" s="10"/>
      <c r="V41" s="103"/>
      <c r="W41" s="103"/>
      <c r="X41" s="103"/>
      <c r="Y41" s="103"/>
      <c r="Z41" s="103"/>
      <c r="AA41" s="103"/>
      <c r="AB41" s="160" t="str">
        <f t="shared" si="0"/>
        <v>R7BV</v>
      </c>
      <c r="AC41" s="160">
        <f t="shared" si="1"/>
        <v>8.670721401379884</v>
      </c>
      <c r="AD41" s="108">
        <f t="shared" si="2"/>
        <v>1.8299828439812562</v>
      </c>
      <c r="AE41" s="160" t="str">
        <f t="shared" si="3"/>
        <v>90-R7BV</v>
      </c>
      <c r="AF41" s="160">
        <f t="shared" si="4"/>
        <v>81.32927859862012</v>
      </c>
      <c r="AG41" s="108">
        <f t="shared" si="5"/>
        <v>78.68926229161401</v>
      </c>
      <c r="AH41" s="160"/>
      <c r="AI41" s="104" t="s">
        <v>44</v>
      </c>
      <c r="AJ41" s="104">
        <f>ATAN($BK$55*$BM$30)*$BJ$9</f>
        <v>8.670721401379884</v>
      </c>
      <c r="AK41" s="104" t="s">
        <v>154</v>
      </c>
      <c r="AL41" s="104">
        <f>90-$AJ$41</f>
        <v>81.32927859862012</v>
      </c>
      <c r="AM41" s="106" t="s">
        <v>44</v>
      </c>
      <c r="AN41" s="104">
        <f>ATAN($BK$56*$BM$31)*$BJ$9</f>
        <v>8.670721401379884</v>
      </c>
      <c r="AO41" s="106" t="s">
        <v>154</v>
      </c>
      <c r="AP41" s="104">
        <f>90-$AN$41</f>
        <v>81.32927859862012</v>
      </c>
      <c r="AQ41" s="103"/>
      <c r="AR41" s="103"/>
      <c r="AS41" s="104" t="s">
        <v>44</v>
      </c>
      <c r="AT41" s="102">
        <f t="shared" si="12"/>
        <v>1.8299828439812562</v>
      </c>
      <c r="AU41" s="108">
        <f t="shared" si="12"/>
        <v>1.8299828439812562</v>
      </c>
      <c r="AV41" s="102">
        <f t="shared" si="13"/>
        <v>78.68926229161401</v>
      </c>
      <c r="AW41" s="108">
        <f t="shared" si="13"/>
        <v>78.68926229161401</v>
      </c>
      <c r="AX41" s="102"/>
      <c r="AY41" s="106" t="s">
        <v>44</v>
      </c>
      <c r="AZ41" s="102">
        <f t="shared" si="14"/>
        <v>1.8299828439812562</v>
      </c>
      <c r="BA41" s="108">
        <f t="shared" si="14"/>
        <v>1.8299828439812562</v>
      </c>
      <c r="BB41" s="102">
        <f t="shared" si="15"/>
        <v>78.68926229161401</v>
      </c>
      <c r="BC41" s="108">
        <f t="shared" si="15"/>
        <v>78.68926229161401</v>
      </c>
      <c r="BD41" s="103"/>
      <c r="BE41" s="103"/>
      <c r="BF41" s="103"/>
      <c r="BG41" s="103"/>
      <c r="BH41" s="103"/>
      <c r="BI41" s="111"/>
      <c r="BJ41" s="103"/>
      <c r="BK41" s="103" t="s">
        <v>52</v>
      </c>
      <c r="BL41" s="103" t="s">
        <v>53</v>
      </c>
      <c r="BM41" s="103"/>
      <c r="BN41" s="103"/>
      <c r="BO41" s="103"/>
    </row>
    <row r="42" spans="2:67" ht="12.75">
      <c r="B42" s="25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V42" s="103"/>
      <c r="W42" s="103"/>
      <c r="X42" s="103"/>
      <c r="Y42" s="103"/>
      <c r="Z42" s="103"/>
      <c r="AA42" s="103"/>
      <c r="AB42" s="160" t="str">
        <f t="shared" si="0"/>
        <v>R6PBV</v>
      </c>
      <c r="AC42" s="160">
        <f t="shared" si="1"/>
        <v>18.434948822922017</v>
      </c>
      <c r="AD42" s="108">
        <f t="shared" si="2"/>
        <v>3.999999999990001</v>
      </c>
      <c r="AE42" s="160" t="str">
        <f t="shared" si="3"/>
        <v>90-R6PBV</v>
      </c>
      <c r="AF42" s="160">
        <f t="shared" si="4"/>
        <v>71.56505117707798</v>
      </c>
      <c r="AG42" s="108">
        <f t="shared" si="5"/>
        <v>35.999999999989974</v>
      </c>
      <c r="AH42" s="160"/>
      <c r="AI42" s="104" t="s">
        <v>45</v>
      </c>
      <c r="AJ42" s="104">
        <f>ASIN($BL$37*$BL$33)*$BJ$9</f>
        <v>18.434948822922017</v>
      </c>
      <c r="AK42" s="104" t="s">
        <v>155</v>
      </c>
      <c r="AL42" s="104">
        <f>90-$AJ$42</f>
        <v>71.56505117707798</v>
      </c>
      <c r="AM42" s="106" t="s">
        <v>45</v>
      </c>
      <c r="AN42" s="104">
        <f>ASIN($BL$38*$BL$34)*$BJ$9</f>
        <v>18.434948822922017</v>
      </c>
      <c r="AO42" s="106" t="s">
        <v>155</v>
      </c>
      <c r="AP42" s="104">
        <f>90-$AN$42</f>
        <v>71.56505117707798</v>
      </c>
      <c r="AQ42" s="103"/>
      <c r="AR42" s="103"/>
      <c r="AS42" s="104" t="s">
        <v>45</v>
      </c>
      <c r="AT42" s="102">
        <f t="shared" si="12"/>
        <v>3.999999999990001</v>
      </c>
      <c r="AU42" s="108">
        <f t="shared" si="12"/>
        <v>3.999999999990001</v>
      </c>
      <c r="AV42" s="102">
        <f t="shared" si="13"/>
        <v>35.999999999989974</v>
      </c>
      <c r="AW42" s="108">
        <f t="shared" si="13"/>
        <v>35.999999999989974</v>
      </c>
      <c r="AX42" s="102"/>
      <c r="AY42" s="106" t="s">
        <v>45</v>
      </c>
      <c r="AZ42" s="102">
        <f t="shared" si="14"/>
        <v>3.999999999990001</v>
      </c>
      <c r="BA42" s="108">
        <f t="shared" si="14"/>
        <v>3.999999999990001</v>
      </c>
      <c r="BB42" s="102">
        <f t="shared" si="15"/>
        <v>35.999999999989974</v>
      </c>
      <c r="BC42" s="108">
        <f t="shared" si="15"/>
        <v>35.999999999989974</v>
      </c>
      <c r="BD42" s="103"/>
      <c r="BE42" s="103"/>
      <c r="BF42" s="103"/>
      <c r="BG42" s="103"/>
      <c r="BH42" s="103"/>
      <c r="BI42" s="111"/>
      <c r="BJ42" s="103" t="s">
        <v>48</v>
      </c>
      <c r="BK42" s="103">
        <f>SIN($AJ$12*$BJ$8)</f>
        <v>0.632455532033676</v>
      </c>
      <c r="BL42" s="103">
        <f>SIN($AN$12*$BJ$8)</f>
        <v>0.632455532033676</v>
      </c>
      <c r="BM42" s="103"/>
      <c r="BN42" s="103"/>
      <c r="BO42" s="103"/>
    </row>
    <row r="43" spans="2:67" ht="12.75">
      <c r="B43" s="25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V43" s="103"/>
      <c r="W43" s="103"/>
      <c r="X43" s="103"/>
      <c r="Y43" s="103"/>
      <c r="Z43" s="103"/>
      <c r="AA43" s="103"/>
      <c r="AB43" s="160" t="str">
        <f>IF(LEFT($G$13)="A",$AM$7:$AM$50,$AI$7:$AI$50)</f>
        <v>DDB</v>
      </c>
      <c r="AC43" s="160">
        <f>IF(LEFT($G$13)="A",$AN$7:$AN$50,$AJ$7:$AJ$50)</f>
        <v>45</v>
      </c>
      <c r="AD43" s="160"/>
      <c r="AE43" s="160"/>
      <c r="AF43" s="160"/>
      <c r="AG43" s="160"/>
      <c r="AH43" s="160"/>
      <c r="AI43" s="102" t="s">
        <v>109</v>
      </c>
      <c r="AJ43" s="102">
        <f>DEGREES($BK$73)</f>
        <v>45</v>
      </c>
      <c r="AK43" s="102"/>
      <c r="AL43" s="102"/>
      <c r="AM43" s="107" t="s">
        <v>112</v>
      </c>
      <c r="AN43" s="102">
        <f>DEGREES($BK$74)</f>
        <v>45</v>
      </c>
      <c r="AO43" s="104"/>
      <c r="AP43" s="104"/>
      <c r="AQ43" s="104"/>
      <c r="AR43" s="104"/>
      <c r="AS43" s="104"/>
      <c r="AT43" s="102"/>
      <c r="AU43" s="102"/>
      <c r="AV43" s="102"/>
      <c r="AW43" s="102"/>
      <c r="AX43" s="102"/>
      <c r="AY43" s="102"/>
      <c r="AZ43" s="102"/>
      <c r="BA43" s="102"/>
      <c r="BB43" s="103"/>
      <c r="BC43" s="103"/>
      <c r="BD43" s="103"/>
      <c r="BE43" s="103"/>
      <c r="BF43" s="103"/>
      <c r="BG43" s="103"/>
      <c r="BH43" s="103"/>
      <c r="BI43" s="111"/>
      <c r="BJ43" s="103" t="s">
        <v>49</v>
      </c>
      <c r="BK43" s="103">
        <f>SIN($AJ$13*$BJ$8)</f>
        <v>0.632455532033676</v>
      </c>
      <c r="BL43" s="103">
        <f>SIN($AN$13*$BJ$8)</f>
        <v>0.632455532033676</v>
      </c>
      <c r="BM43" s="103"/>
      <c r="BN43" s="103"/>
      <c r="BO43" s="103"/>
    </row>
    <row r="44" spans="2:67" ht="12.75">
      <c r="B44" s="55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V44" s="103"/>
      <c r="W44" s="103"/>
      <c r="X44" s="103"/>
      <c r="Y44" s="103"/>
      <c r="Z44" s="103"/>
      <c r="AA44" s="103"/>
      <c r="AB44" s="160" t="str">
        <f aca="true" t="shared" si="16" ref="AB44:AB50">IF(LEFT($G$13)="A",$AM$7:$AM$52,$AI$7:$AI$52)</f>
        <v>SS</v>
      </c>
      <c r="AC44" s="160">
        <f aca="true" t="shared" si="17" ref="AC44:AC50">IF(LEFT($G$13)="A",$AN$7:$AN$52,$AJ$7:$AJ$52)</f>
        <v>45</v>
      </c>
      <c r="AD44" s="160"/>
      <c r="AE44" s="160"/>
      <c r="AF44" s="160"/>
      <c r="AG44" s="160"/>
      <c r="AH44" s="160"/>
      <c r="AI44" s="102" t="s">
        <v>4</v>
      </c>
      <c r="AJ44" s="102">
        <f>$AJ$8</f>
        <v>45</v>
      </c>
      <c r="AK44" s="102"/>
      <c r="AL44" s="102"/>
      <c r="AM44" s="107" t="s">
        <v>5</v>
      </c>
      <c r="AN44" s="102">
        <f>$AN$8</f>
        <v>45</v>
      </c>
      <c r="AO44" s="102"/>
      <c r="AP44" s="102"/>
      <c r="AQ44" s="104"/>
      <c r="AR44" s="104"/>
      <c r="AS44" s="104"/>
      <c r="AT44" s="102"/>
      <c r="AU44" s="102"/>
      <c r="AV44" s="102"/>
      <c r="AW44" s="102"/>
      <c r="AX44" s="102"/>
      <c r="AY44" s="102"/>
      <c r="AZ44" s="102"/>
      <c r="BA44" s="102"/>
      <c r="BB44" s="103"/>
      <c r="BC44" s="103"/>
      <c r="BD44" s="103"/>
      <c r="BE44" s="103"/>
      <c r="BF44" s="103"/>
      <c r="BG44" s="103"/>
      <c r="BH44" s="103"/>
      <c r="BI44" s="111"/>
      <c r="BJ44" s="103" t="s">
        <v>46</v>
      </c>
      <c r="BK44" s="103">
        <f>TAN($AJ$16*$BJ$8)</f>
        <v>0.4472135954999579</v>
      </c>
      <c r="BL44" s="103">
        <f>TAN($AN$16*$BJ$8)</f>
        <v>0.4472135954999579</v>
      </c>
      <c r="BM44" s="103"/>
      <c r="BN44" s="103"/>
      <c r="BO44" s="103"/>
    </row>
    <row r="45" spans="2:67" ht="13.5" thickBot="1">
      <c r="B45" s="5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V45" s="103"/>
      <c r="W45" s="103"/>
      <c r="X45" s="103"/>
      <c r="Y45" s="103"/>
      <c r="Z45" s="103"/>
      <c r="AA45" s="103"/>
      <c r="AB45" s="160" t="str">
        <f t="shared" si="16"/>
        <v>R1</v>
      </c>
      <c r="AC45" s="160">
        <f t="shared" si="17"/>
        <v>35.264389682754654</v>
      </c>
      <c r="AD45" s="160"/>
      <c r="AE45" s="160"/>
      <c r="AF45" s="160"/>
      <c r="AG45" s="160"/>
      <c r="AH45" s="160"/>
      <c r="AI45" s="102" t="s">
        <v>6</v>
      </c>
      <c r="AJ45" s="102">
        <f>DEGREES($BK$77)</f>
        <v>35.264389682754654</v>
      </c>
      <c r="AK45" s="102"/>
      <c r="AL45" s="102"/>
      <c r="AM45" s="107" t="s">
        <v>6</v>
      </c>
      <c r="AN45" s="102">
        <f>DEGREES($BK$78)</f>
        <v>35.264389682754654</v>
      </c>
      <c r="AO45" s="102"/>
      <c r="AP45" s="102"/>
      <c r="AQ45" s="104"/>
      <c r="AR45" s="104"/>
      <c r="AS45" s="104"/>
      <c r="AT45" s="102"/>
      <c r="AU45" s="102"/>
      <c r="AV45" s="102"/>
      <c r="AW45" s="102"/>
      <c r="AX45" s="102"/>
      <c r="AY45" s="102"/>
      <c r="AZ45" s="102"/>
      <c r="BA45" s="102"/>
      <c r="BB45" s="103"/>
      <c r="BC45" s="103"/>
      <c r="BD45" s="103"/>
      <c r="BE45" s="103"/>
      <c r="BF45" s="103"/>
      <c r="BG45" s="103"/>
      <c r="BH45" s="103"/>
      <c r="BI45" s="111"/>
      <c r="BJ45" s="103" t="s">
        <v>47</v>
      </c>
      <c r="BK45" s="103">
        <f>TAN($AJ$17*$BJ$8)</f>
        <v>0.44721359549995804</v>
      </c>
      <c r="BL45" s="103">
        <f>TAN($AN$17*$BJ$8)</f>
        <v>0.44721359549995804</v>
      </c>
      <c r="BM45" s="103"/>
      <c r="BN45" s="103"/>
      <c r="BO45" s="103"/>
    </row>
    <row r="46" spans="22:67" ht="13.5" thickBot="1">
      <c r="V46" s="103"/>
      <c r="W46" s="103"/>
      <c r="X46" s="103"/>
      <c r="Y46" s="103"/>
      <c r="Z46" s="103"/>
      <c r="AA46" s="103"/>
      <c r="AB46" s="160" t="str">
        <f t="shared" si="16"/>
        <v>P2B</v>
      </c>
      <c r="AC46" s="160">
        <f t="shared" si="17"/>
        <v>54.735610317245346</v>
      </c>
      <c r="AD46" s="160"/>
      <c r="AE46" s="160"/>
      <c r="AF46" s="160"/>
      <c r="AG46" s="160"/>
      <c r="AH46" s="160"/>
      <c r="AI46" s="102" t="s">
        <v>93</v>
      </c>
      <c r="AJ46" s="102">
        <f>DEGREES($BK$79)</f>
        <v>54.735610317245346</v>
      </c>
      <c r="AK46" s="102"/>
      <c r="AL46" s="102"/>
      <c r="AM46" s="107" t="s">
        <v>93</v>
      </c>
      <c r="AN46" s="102">
        <f>DEGREES($BK$80)</f>
        <v>54.735610317245346</v>
      </c>
      <c r="AO46" s="102"/>
      <c r="AP46" s="102"/>
      <c r="AQ46" s="103"/>
      <c r="AR46" s="105" t="s">
        <v>123</v>
      </c>
      <c r="AS46" s="104"/>
      <c r="AT46" s="102"/>
      <c r="AU46" s="102"/>
      <c r="AV46" s="105" t="s">
        <v>254</v>
      </c>
      <c r="AW46" s="102"/>
      <c r="AX46" s="102"/>
      <c r="AY46" s="102"/>
      <c r="AZ46" s="102"/>
      <c r="BA46" s="102"/>
      <c r="BB46" s="103"/>
      <c r="BC46" s="103"/>
      <c r="BD46" s="103"/>
      <c r="BE46" s="103"/>
      <c r="BF46" s="103"/>
      <c r="BG46" s="103"/>
      <c r="BH46" s="103"/>
      <c r="BI46" s="111"/>
      <c r="BJ46" s="103"/>
      <c r="BK46" s="103"/>
      <c r="BL46" s="103"/>
      <c r="BM46" s="103"/>
      <c r="BN46" s="103"/>
      <c r="BO46" s="103"/>
    </row>
    <row r="47" spans="2:67" ht="12.75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V47" s="103"/>
      <c r="W47" s="103"/>
      <c r="X47" s="103"/>
      <c r="Y47" s="103"/>
      <c r="Z47" s="103"/>
      <c r="AA47" s="103"/>
      <c r="AB47" s="160" t="str">
        <f t="shared" si="16"/>
        <v>90±C5</v>
      </c>
      <c r="AC47" s="160">
        <f t="shared" si="17"/>
        <v>60.00000000000001</v>
      </c>
      <c r="AD47" s="160"/>
      <c r="AE47" s="160"/>
      <c r="AF47" s="160"/>
      <c r="AG47" s="160"/>
      <c r="AH47" s="160"/>
      <c r="AI47" s="102" t="s">
        <v>110</v>
      </c>
      <c r="AJ47" s="102">
        <f>DEGREES($BK$81)</f>
        <v>60.00000000000001</v>
      </c>
      <c r="AK47" s="102"/>
      <c r="AL47" s="102"/>
      <c r="AM47" s="107" t="s">
        <v>110</v>
      </c>
      <c r="AN47" s="102">
        <f>DEGREES($BK$82)</f>
        <v>60.00000000000001</v>
      </c>
      <c r="AO47" s="102"/>
      <c r="AP47" s="102"/>
      <c r="AQ47" s="103"/>
      <c r="AR47" s="116" t="s">
        <v>255</v>
      </c>
      <c r="AS47" s="104"/>
      <c r="AT47" s="102"/>
      <c r="AU47" s="102"/>
      <c r="AV47" s="107" t="s">
        <v>256</v>
      </c>
      <c r="AW47" s="102"/>
      <c r="AX47" s="102"/>
      <c r="AY47" s="102"/>
      <c r="AZ47" s="102"/>
      <c r="BA47" s="102"/>
      <c r="BB47" s="103"/>
      <c r="BC47" s="103"/>
      <c r="BD47" s="103"/>
      <c r="BE47" s="103"/>
      <c r="BF47" s="103"/>
      <c r="BG47" s="103"/>
      <c r="BH47" s="103"/>
      <c r="BI47" s="111"/>
      <c r="BJ47" s="103" t="s">
        <v>67</v>
      </c>
      <c r="BK47" s="103">
        <f>TAN($AJ$25*$BJ$8)</f>
        <v>0.577350269189626</v>
      </c>
      <c r="BL47" s="103"/>
      <c r="BM47" s="103"/>
      <c r="BN47" s="103"/>
      <c r="BO47" s="103"/>
    </row>
    <row r="48" spans="2:67" ht="12.75">
      <c r="B48" s="43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4"/>
      <c r="V48" s="103"/>
      <c r="W48" s="103"/>
      <c r="X48" s="103"/>
      <c r="Y48" s="103"/>
      <c r="Z48" s="103"/>
      <c r="AA48" s="103"/>
      <c r="AB48" s="160" t="str">
        <f t="shared" si="16"/>
        <v>90±A5B</v>
      </c>
      <c r="AC48" s="160">
        <f t="shared" si="17"/>
        <v>65.90515744788931</v>
      </c>
      <c r="AD48" s="160"/>
      <c r="AE48" s="160"/>
      <c r="AF48" s="160"/>
      <c r="AG48" s="160"/>
      <c r="AH48" s="160"/>
      <c r="AI48" s="102" t="s">
        <v>111</v>
      </c>
      <c r="AJ48" s="102">
        <f>DEGREES($BK$83)</f>
        <v>65.90515744788931</v>
      </c>
      <c r="AK48" s="102"/>
      <c r="AL48" s="102"/>
      <c r="AM48" s="107" t="s">
        <v>111</v>
      </c>
      <c r="AN48" s="102">
        <f>DEGREES($BK$84)</f>
        <v>65.90515744788931</v>
      </c>
      <c r="AO48" s="102"/>
      <c r="AP48" s="102"/>
      <c r="AQ48" s="103"/>
      <c r="AR48" s="105" t="s">
        <v>257</v>
      </c>
      <c r="AS48" s="104"/>
      <c r="AT48" s="102"/>
      <c r="AU48" s="102"/>
      <c r="AV48" s="107" t="s">
        <v>258</v>
      </c>
      <c r="AW48" s="102"/>
      <c r="AX48" s="102"/>
      <c r="AY48" s="102"/>
      <c r="AZ48" s="102"/>
      <c r="BA48" s="102"/>
      <c r="BB48" s="103"/>
      <c r="BC48" s="103"/>
      <c r="BD48" s="103"/>
      <c r="BE48" s="103"/>
      <c r="BF48" s="103"/>
      <c r="BG48" s="103"/>
      <c r="BH48" s="103"/>
      <c r="BI48" s="111"/>
      <c r="BJ48" s="103" t="s">
        <v>68</v>
      </c>
      <c r="BK48" s="103">
        <f>TAN($AN$25*$BJ$8)</f>
        <v>0.577350269189626</v>
      </c>
      <c r="BL48" s="103"/>
      <c r="BM48" s="103"/>
      <c r="BN48" s="103"/>
      <c r="BO48" s="103"/>
    </row>
    <row r="49" spans="2:67" ht="12.75">
      <c r="B49" s="43"/>
      <c r="C49" s="74"/>
      <c r="D49" s="30"/>
      <c r="E49" s="30"/>
      <c r="F49" s="30"/>
      <c r="G49" s="30"/>
      <c r="H49" s="30"/>
      <c r="I49" s="30"/>
      <c r="J49" s="30"/>
      <c r="K49" s="30"/>
      <c r="L49" s="31"/>
      <c r="M49" s="44"/>
      <c r="V49" s="103"/>
      <c r="W49" s="103"/>
      <c r="X49" s="103"/>
      <c r="Y49" s="103"/>
      <c r="Z49" s="103"/>
      <c r="AA49" s="103"/>
      <c r="AB49" s="160" t="str">
        <f t="shared" si="16"/>
        <v>R5B</v>
      </c>
      <c r="AC49" s="160">
        <f t="shared" si="17"/>
        <v>26.565051177077994</v>
      </c>
      <c r="AD49" s="160"/>
      <c r="AE49" s="160"/>
      <c r="AF49" s="160"/>
      <c r="AG49" s="160"/>
      <c r="AH49" s="160"/>
      <c r="AI49" s="102" t="s">
        <v>20</v>
      </c>
      <c r="AJ49" s="102">
        <f>DEGREES($BK$85)</f>
        <v>26.565051177077994</v>
      </c>
      <c r="AK49" s="102"/>
      <c r="AL49" s="102"/>
      <c r="AM49" s="107" t="s">
        <v>20</v>
      </c>
      <c r="AN49" s="102">
        <f>DEGREES($BK$86)</f>
        <v>26.565051177077994</v>
      </c>
      <c r="AO49" s="102"/>
      <c r="AP49" s="102"/>
      <c r="AQ49" s="103"/>
      <c r="AR49" s="116" t="s">
        <v>259</v>
      </c>
      <c r="AS49" s="104"/>
      <c r="AT49" s="102"/>
      <c r="AU49" s="102"/>
      <c r="AV49" s="102" t="s">
        <v>126</v>
      </c>
      <c r="AW49" s="102"/>
      <c r="AX49" s="102"/>
      <c r="AY49" s="102"/>
      <c r="AZ49" s="102"/>
      <c r="BA49" s="102"/>
      <c r="BB49" s="103"/>
      <c r="BC49" s="103"/>
      <c r="BD49" s="103"/>
      <c r="BE49" s="103"/>
      <c r="BF49" s="103"/>
      <c r="BG49" s="103"/>
      <c r="BH49" s="103"/>
      <c r="BI49" s="111"/>
      <c r="BJ49" s="103" t="s">
        <v>69</v>
      </c>
      <c r="BK49" s="103">
        <f>TAN($AJ$24*$BJ$8)</f>
        <v>0.4714045207910317</v>
      </c>
      <c r="BL49" s="103"/>
      <c r="BM49" s="103"/>
      <c r="BN49" s="103"/>
      <c r="BO49" s="103"/>
    </row>
    <row r="50" spans="2:67" ht="18.75">
      <c r="B50" s="43"/>
      <c r="C50" s="75"/>
      <c r="D50" s="2"/>
      <c r="E50" s="34"/>
      <c r="F50" s="50"/>
      <c r="G50" s="51" t="s">
        <v>166</v>
      </c>
      <c r="H50" s="50"/>
      <c r="I50" s="50"/>
      <c r="J50" s="36"/>
      <c r="K50" s="2"/>
      <c r="L50" s="13"/>
      <c r="M50" s="44"/>
      <c r="O50" s="67"/>
      <c r="V50" s="103"/>
      <c r="W50" s="103"/>
      <c r="X50" s="103"/>
      <c r="Y50" s="103"/>
      <c r="Z50" s="103"/>
      <c r="AA50" s="103"/>
      <c r="AB50" s="160" t="str">
        <f t="shared" si="16"/>
        <v>R4B</v>
      </c>
      <c r="AC50" s="160">
        <f t="shared" si="17"/>
        <v>39.23152048359226</v>
      </c>
      <c r="AD50" s="160"/>
      <c r="AE50" s="160"/>
      <c r="AF50" s="160"/>
      <c r="AG50" s="160"/>
      <c r="AH50" s="160"/>
      <c r="AI50" s="102" t="s">
        <v>108</v>
      </c>
      <c r="AJ50" s="102">
        <f>DEGREES($BK$87)</f>
        <v>39.23152048359226</v>
      </c>
      <c r="AK50" s="102"/>
      <c r="AL50" s="102"/>
      <c r="AM50" s="107" t="s">
        <v>108</v>
      </c>
      <c r="AN50" s="102">
        <f>DEGREES($BK$88)</f>
        <v>39.23152048359226</v>
      </c>
      <c r="AO50" s="102"/>
      <c r="AP50" s="102"/>
      <c r="AQ50" s="103"/>
      <c r="AR50" s="116" t="s">
        <v>260</v>
      </c>
      <c r="AS50" s="104"/>
      <c r="AT50" s="102"/>
      <c r="AU50" s="102"/>
      <c r="AV50" s="102" t="s">
        <v>127</v>
      </c>
      <c r="AW50" s="102"/>
      <c r="AX50" s="102"/>
      <c r="AY50" s="102"/>
      <c r="AZ50" s="102"/>
      <c r="BA50" s="102"/>
      <c r="BB50" s="103"/>
      <c r="BC50" s="103"/>
      <c r="BD50" s="103"/>
      <c r="BE50" s="103"/>
      <c r="BF50" s="103"/>
      <c r="BG50" s="103"/>
      <c r="BH50" s="103"/>
      <c r="BI50" s="111"/>
      <c r="BJ50" s="103" t="s">
        <v>70</v>
      </c>
      <c r="BK50" s="103">
        <f>TAN($AN$24*$BJ$8)</f>
        <v>0.4714045207910317</v>
      </c>
      <c r="BL50" s="103"/>
      <c r="BM50" s="103"/>
      <c r="BN50" s="103"/>
      <c r="BO50" s="103"/>
    </row>
    <row r="51" spans="2:67" ht="12.75">
      <c r="B51" s="43"/>
      <c r="C51" s="75"/>
      <c r="D51" s="2"/>
      <c r="E51" s="2"/>
      <c r="F51" s="2"/>
      <c r="G51" s="2"/>
      <c r="H51" s="2"/>
      <c r="I51" s="2"/>
      <c r="J51" s="2"/>
      <c r="K51" s="2"/>
      <c r="L51" s="13"/>
      <c r="M51" s="44"/>
      <c r="V51" s="103"/>
      <c r="W51" s="103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05" t="s">
        <v>92</v>
      </c>
      <c r="AJ51" s="102"/>
      <c r="AK51" s="102"/>
      <c r="AL51" s="102"/>
      <c r="AM51" s="102"/>
      <c r="AN51" s="103"/>
      <c r="AO51" s="102"/>
      <c r="AP51" s="102"/>
      <c r="AQ51" s="103"/>
      <c r="AR51" s="116" t="s">
        <v>261</v>
      </c>
      <c r="AS51" s="104"/>
      <c r="AT51" s="102"/>
      <c r="AU51" s="102"/>
      <c r="AV51" s="102"/>
      <c r="AW51" s="102"/>
      <c r="AX51" s="102"/>
      <c r="AY51" s="102"/>
      <c r="AZ51" s="102"/>
      <c r="BA51" s="102"/>
      <c r="BB51" s="103"/>
      <c r="BC51" s="103"/>
      <c r="BD51" s="103"/>
      <c r="BE51" s="103"/>
      <c r="BF51" s="103"/>
      <c r="BG51" s="103"/>
      <c r="BH51" s="103"/>
      <c r="BI51" s="111"/>
      <c r="BJ51" s="103" t="s">
        <v>71</v>
      </c>
      <c r="BK51" s="103">
        <f>SIN($AJ$26*$BJ$8)</f>
        <v>0.2886751345948129</v>
      </c>
      <c r="BL51" s="103"/>
      <c r="BM51" s="103"/>
      <c r="BN51" s="103"/>
      <c r="BO51" s="103"/>
    </row>
    <row r="52" spans="2:67" ht="16.5" thickBot="1">
      <c r="B52" s="43"/>
      <c r="C52" s="21"/>
      <c r="D52" s="72" t="s">
        <v>190</v>
      </c>
      <c r="E52" s="2"/>
      <c r="F52" s="2"/>
      <c r="G52" s="2"/>
      <c r="H52" s="2"/>
      <c r="I52" s="2"/>
      <c r="J52" s="2"/>
      <c r="K52" s="2"/>
      <c r="L52" s="13"/>
      <c r="M52" s="44"/>
      <c r="V52" s="103"/>
      <c r="W52" s="103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05" t="s">
        <v>52</v>
      </c>
      <c r="AJ52" s="102"/>
      <c r="AK52" s="103" t="b">
        <f>OR($AJ$43&gt;90,$AN$43&gt;90)</f>
        <v>0</v>
      </c>
      <c r="AL52" s="102"/>
      <c r="AM52" s="105" t="s">
        <v>84</v>
      </c>
      <c r="AN52" s="103"/>
      <c r="AO52" s="102"/>
      <c r="AP52" s="102"/>
      <c r="AQ52" s="103"/>
      <c r="AR52" s="107"/>
      <c r="AS52" s="117" t="s">
        <v>122</v>
      </c>
      <c r="AT52" s="102"/>
      <c r="AU52" s="102"/>
      <c r="AV52" s="102"/>
      <c r="AW52" s="102"/>
      <c r="AX52" s="102"/>
      <c r="AY52" s="102"/>
      <c r="AZ52" s="102"/>
      <c r="BA52" s="102"/>
      <c r="BB52" s="103"/>
      <c r="BC52" s="103"/>
      <c r="BD52" s="103"/>
      <c r="BE52" s="103"/>
      <c r="BF52" s="103"/>
      <c r="BG52" s="103"/>
      <c r="BH52" s="103"/>
      <c r="BI52" s="111"/>
      <c r="BJ52" s="103" t="s">
        <v>72</v>
      </c>
      <c r="BK52" s="103">
        <f>SIN($AN$26*$BJ$8)</f>
        <v>0.2886751345948129</v>
      </c>
      <c r="BL52" s="103"/>
      <c r="BM52" s="103"/>
      <c r="BN52" s="103"/>
      <c r="BO52" s="103"/>
    </row>
    <row r="53" spans="2:67" ht="16.5" thickBot="1">
      <c r="B53" s="43"/>
      <c r="C53" s="21"/>
      <c r="D53" s="72" t="s">
        <v>235</v>
      </c>
      <c r="E53" s="2"/>
      <c r="F53" s="2"/>
      <c r="G53" s="2"/>
      <c r="H53" s="2"/>
      <c r="I53" s="2"/>
      <c r="J53" s="2"/>
      <c r="K53" s="2"/>
      <c r="L53" s="13"/>
      <c r="M53" s="44"/>
      <c r="V53" s="103"/>
      <c r="W53" s="103"/>
      <c r="X53" s="160"/>
      <c r="Y53" s="107"/>
      <c r="Z53" s="107"/>
      <c r="AA53" s="107"/>
      <c r="AB53" s="107"/>
      <c r="AC53" s="160"/>
      <c r="AD53" s="160"/>
      <c r="AE53" s="160"/>
      <c r="AF53" s="160"/>
      <c r="AG53" s="160"/>
      <c r="AH53" s="160"/>
      <c r="AI53" s="118">
        <f>IF(LEFT($G$13)="A",$AK$54,$AK$53)</f>
        <v>35.264389682754654</v>
      </c>
      <c r="AJ53" s="119" t="s">
        <v>164</v>
      </c>
      <c r="AK53" s="120">
        <f>DEGREES(ACOS($BL$73/$BL$81))</f>
        <v>35.264389682754654</v>
      </c>
      <c r="AL53" s="103"/>
      <c r="AM53" s="103" t="b">
        <f>AND(LEFT($G$13)="M",LEFT($G$15)="Y")</f>
        <v>0</v>
      </c>
      <c r="AN53" s="121" t="str">
        <f>IF(LEFT($AM$53)="T","COMPOUND JOINT: SIDE 1"," ")</f>
        <v> </v>
      </c>
      <c r="AO53" s="103"/>
      <c r="AP53" s="102"/>
      <c r="AQ53" s="104"/>
      <c r="AR53" s="104"/>
      <c r="AS53" s="104"/>
      <c r="AT53" s="102"/>
      <c r="AU53" s="102"/>
      <c r="AV53" s="102"/>
      <c r="AW53" s="102"/>
      <c r="AX53" s="102"/>
      <c r="AY53" s="102"/>
      <c r="AZ53" s="102"/>
      <c r="BA53" s="102"/>
      <c r="BB53" s="103"/>
      <c r="BC53" s="103"/>
      <c r="BD53" s="103"/>
      <c r="BE53" s="103"/>
      <c r="BF53" s="103"/>
      <c r="BG53" s="103"/>
      <c r="BH53" s="103"/>
      <c r="BI53" s="111"/>
      <c r="BJ53" s="103" t="s">
        <v>73</v>
      </c>
      <c r="BK53" s="103">
        <f>COS($AJ$21*$BJ$8)</f>
        <v>0.816496580927726</v>
      </c>
      <c r="BL53" s="103"/>
      <c r="BM53" s="103"/>
      <c r="BN53" s="103"/>
      <c r="BO53" s="103"/>
    </row>
    <row r="54" spans="2:67" ht="15.75">
      <c r="B54" s="43"/>
      <c r="C54" s="21"/>
      <c r="D54" s="72" t="s">
        <v>218</v>
      </c>
      <c r="E54" s="2"/>
      <c r="F54" s="2"/>
      <c r="G54" s="2"/>
      <c r="H54" s="2"/>
      <c r="I54" s="2"/>
      <c r="J54" s="2"/>
      <c r="K54" s="2"/>
      <c r="L54" s="13"/>
      <c r="M54" s="44"/>
      <c r="O54" s="67"/>
      <c r="V54" s="103"/>
      <c r="W54" s="103"/>
      <c r="X54" s="160"/>
      <c r="Y54" s="162"/>
      <c r="Z54" s="163"/>
      <c r="AA54" s="163"/>
      <c r="AB54" s="164"/>
      <c r="AC54" s="160"/>
      <c r="AD54" s="160"/>
      <c r="AE54" s="160"/>
      <c r="AF54" s="160"/>
      <c r="AG54" s="160"/>
      <c r="AH54" s="160"/>
      <c r="AI54" s="122">
        <f>IF(LEFT($G$13)="A",$AK$56,$AK$55)</f>
        <v>39.231520483592256</v>
      </c>
      <c r="AJ54" s="123" t="s">
        <v>164</v>
      </c>
      <c r="AK54" s="124">
        <f>DEGREES(ACOS($BL$74/$BL$82))</f>
        <v>35.264389682754654</v>
      </c>
      <c r="AL54" s="103"/>
      <c r="AM54" s="103" t="b">
        <f>AND(LEFT($G$13)="A",LEFT($G$15)="Y")</f>
        <v>0</v>
      </c>
      <c r="AN54" s="121" t="str">
        <f>IF(LEFT($AM$54)="T","COMPOUND JOINT: SIDE 2"," ")</f>
        <v> </v>
      </c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11"/>
      <c r="BJ54" s="103" t="s">
        <v>74</v>
      </c>
      <c r="BK54" s="103">
        <f>COS($AN$21*$BJ$8)</f>
        <v>0.816496580927726</v>
      </c>
      <c r="BL54" s="103"/>
      <c r="BM54" s="103"/>
      <c r="BN54" s="103"/>
      <c r="BO54" s="103"/>
    </row>
    <row r="55" spans="2:67" ht="15.75">
      <c r="B55" s="43"/>
      <c r="C55" s="21"/>
      <c r="D55" s="72" t="s">
        <v>191</v>
      </c>
      <c r="E55" s="2"/>
      <c r="F55" s="2"/>
      <c r="G55" s="2"/>
      <c r="H55" s="2"/>
      <c r="I55" s="2"/>
      <c r="J55" s="2"/>
      <c r="K55" s="2"/>
      <c r="L55" s="13"/>
      <c r="M55" s="44"/>
      <c r="O55" s="67"/>
      <c r="V55" s="103"/>
      <c r="W55" s="103"/>
      <c r="X55" s="160"/>
      <c r="Y55" s="165"/>
      <c r="Z55" s="125"/>
      <c r="AA55" s="126" t="s">
        <v>249</v>
      </c>
      <c r="AB55" s="166"/>
      <c r="AC55" s="160"/>
      <c r="AD55" s="160"/>
      <c r="AE55" s="160"/>
      <c r="AF55" s="160"/>
      <c r="AG55" s="160"/>
      <c r="AH55" s="160"/>
      <c r="AI55" s="122"/>
      <c r="AJ55" s="127" t="s">
        <v>19</v>
      </c>
      <c r="AK55" s="128">
        <f>DEGREES(ACOS(($BL$73+$BL$73*$BN$77*$BN$77)/(SQRT(1+($BL$73*$BN$77)^2)*SQRT(1+($BN$77)^2))))</f>
        <v>39.231520483592256</v>
      </c>
      <c r="AL55" s="103"/>
      <c r="AM55" s="103" t="b">
        <f>AND(LEFT($G$13)="M",LEFT($G$15)="N")</f>
        <v>1</v>
      </c>
      <c r="AN55" s="121" t="str">
        <f>IF(LEFT($AM$55)="T","MAIN SIDE"," ")</f>
        <v>MAIN SIDE</v>
      </c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11"/>
      <c r="BJ55" s="103" t="s">
        <v>75</v>
      </c>
      <c r="BK55" s="103">
        <f>SIN($AJ$27*$BJ$8)</f>
        <v>0.24902912254587614</v>
      </c>
      <c r="BL55" s="103"/>
      <c r="BM55" s="103"/>
      <c r="BN55" s="103"/>
      <c r="BO55" s="103"/>
    </row>
    <row r="56" spans="2:67" ht="16.5" thickBot="1">
      <c r="B56" s="43"/>
      <c r="C56" s="21"/>
      <c r="D56" s="72" t="s">
        <v>192</v>
      </c>
      <c r="E56" s="2"/>
      <c r="F56" s="2"/>
      <c r="G56" s="2"/>
      <c r="H56" s="2"/>
      <c r="I56" s="2"/>
      <c r="J56" s="2"/>
      <c r="K56" s="2"/>
      <c r="L56" s="13"/>
      <c r="M56" s="44"/>
      <c r="O56" s="2"/>
      <c r="V56" s="103"/>
      <c r="W56" s="103"/>
      <c r="X56" s="160"/>
      <c r="Y56" s="165"/>
      <c r="Z56" s="107"/>
      <c r="AA56" s="100">
        <f>$AA$64</f>
        <v>-924.3151868055575</v>
      </c>
      <c r="AB56" s="166"/>
      <c r="AC56" s="160"/>
      <c r="AD56" s="160"/>
      <c r="AE56" s="160"/>
      <c r="AF56" s="160"/>
      <c r="AG56" s="160"/>
      <c r="AH56" s="160"/>
      <c r="AI56" s="129"/>
      <c r="AJ56" s="130" t="s">
        <v>19</v>
      </c>
      <c r="AK56" s="131">
        <f>DEGREES(ACOS(($BL$74+$BL$74*$BN$78*$BN$78)/(SQRT(1+($BL$74*$BN$78)^2)*SQRT(1+($BN$78)^2))))</f>
        <v>39.231520483592256</v>
      </c>
      <c r="AL56" s="103"/>
      <c r="AM56" s="103" t="b">
        <f>AND(LEFT($G$13)="A",LEFT($G$15)="N")</f>
        <v>0</v>
      </c>
      <c r="AN56" s="121" t="str">
        <f>IF(LEFT($AM$56)="T","ADJACENT SIDE"," ")</f>
        <v> </v>
      </c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11"/>
      <c r="BJ56" s="103" t="s">
        <v>76</v>
      </c>
      <c r="BK56" s="103">
        <f>SIN($AN$27*$BJ$8)</f>
        <v>0.24902912254587614</v>
      </c>
      <c r="BL56" s="103"/>
      <c r="BM56" s="103"/>
      <c r="BN56" s="103"/>
      <c r="BO56" s="103"/>
    </row>
    <row r="57" spans="2:67" ht="15.75">
      <c r="B57" s="43"/>
      <c r="C57" s="21"/>
      <c r="D57" s="70" t="s">
        <v>193</v>
      </c>
      <c r="E57" s="2"/>
      <c r="F57" s="2"/>
      <c r="G57" s="2"/>
      <c r="H57" s="2"/>
      <c r="I57" s="2"/>
      <c r="J57" s="2"/>
      <c r="K57" s="2"/>
      <c r="L57" s="13"/>
      <c r="M57" s="44"/>
      <c r="O57" s="2"/>
      <c r="V57" s="103"/>
      <c r="W57" s="103"/>
      <c r="X57" s="160"/>
      <c r="Y57" s="165"/>
      <c r="Z57" s="134" t="s">
        <v>246</v>
      </c>
      <c r="AA57" s="167">
        <v>0.000694444444444444</v>
      </c>
      <c r="AB57" s="166"/>
      <c r="AC57" s="107"/>
      <c r="AD57" s="107"/>
      <c r="AE57" s="160"/>
      <c r="AF57" s="160"/>
      <c r="AG57" s="160"/>
      <c r="AH57" s="160"/>
      <c r="AI57" s="103" t="s">
        <v>165</v>
      </c>
      <c r="AJ57" s="103"/>
      <c r="AK57" s="103"/>
      <c r="AL57" s="103"/>
      <c r="AM57" s="103" t="b">
        <f>AND(LEFT($G$13)="M",LEFT($AK$52)="T")</f>
        <v>0</v>
      </c>
      <c r="AN57" s="121" t="str">
        <f>IF(LEFT($AM$57)="T","DD or D EXCEEDS 90 DEGREES : MAIN SIDE"," ")</f>
        <v> </v>
      </c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11"/>
      <c r="BJ57" s="103" t="s">
        <v>77</v>
      </c>
      <c r="BK57" s="103">
        <f>COS($AJ$27*$BJ$8)</f>
        <v>0.9684959969581862</v>
      </c>
      <c r="BL57" s="103"/>
      <c r="BM57" s="103"/>
      <c r="BN57" s="103"/>
      <c r="BO57" s="103"/>
    </row>
    <row r="58" spans="2:67" ht="15.75">
      <c r="B58" s="43"/>
      <c r="C58" s="21"/>
      <c r="D58" s="72" t="s">
        <v>194</v>
      </c>
      <c r="E58" s="2"/>
      <c r="F58" s="2"/>
      <c r="G58" s="2"/>
      <c r="H58" s="2"/>
      <c r="I58" s="2"/>
      <c r="J58" s="2"/>
      <c r="K58" s="2"/>
      <c r="L58" s="13"/>
      <c r="M58" s="44"/>
      <c r="O58" s="2"/>
      <c r="P58" s="2"/>
      <c r="Q58" s="2"/>
      <c r="R58" s="2"/>
      <c r="V58" s="103"/>
      <c r="W58" s="103"/>
      <c r="X58" s="160"/>
      <c r="Y58" s="165"/>
      <c r="Z58" s="134" t="s">
        <v>247</v>
      </c>
      <c r="AA58" s="167">
        <f>60*$AA$57</f>
        <v>0.041666666666666644</v>
      </c>
      <c r="AB58" s="166"/>
      <c r="AC58" s="107"/>
      <c r="AD58" s="107"/>
      <c r="AE58" s="160"/>
      <c r="AF58" s="160"/>
      <c r="AG58" s="160"/>
      <c r="AH58" s="160"/>
      <c r="AI58" s="103"/>
      <c r="AJ58" s="103"/>
      <c r="AK58" s="103"/>
      <c r="AL58" s="103"/>
      <c r="AM58" s="103" t="b">
        <f>AND(LEFT($G$13)="A",LEFT($AK$52)="T")</f>
        <v>0</v>
      </c>
      <c r="AN58" s="121" t="str">
        <f>IF(LEFT($AM$58)="T","DD or D EXCEEDS 90 DEGREES : ADJACENT SIDE"," ")</f>
        <v> </v>
      </c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11"/>
      <c r="BJ58" s="103" t="s">
        <v>78</v>
      </c>
      <c r="BK58" s="103">
        <f>COS($AN$27*$BJ$8)</f>
        <v>0.9684959969581862</v>
      </c>
      <c r="BL58" s="103"/>
      <c r="BM58" s="103"/>
      <c r="BN58" s="103"/>
      <c r="BO58" s="103"/>
    </row>
    <row r="59" spans="2:67" ht="15.75">
      <c r="B59" s="43"/>
      <c r="C59" s="21"/>
      <c r="D59" s="72" t="s">
        <v>195</v>
      </c>
      <c r="E59" s="2"/>
      <c r="F59" s="2"/>
      <c r="G59" s="2"/>
      <c r="H59" s="2"/>
      <c r="I59" s="2"/>
      <c r="J59" s="2"/>
      <c r="K59" s="2"/>
      <c r="L59" s="13"/>
      <c r="M59" s="44"/>
      <c r="O59" s="2"/>
      <c r="P59" s="2"/>
      <c r="Q59" s="2"/>
      <c r="R59" s="2"/>
      <c r="V59" s="103"/>
      <c r="W59" s="103"/>
      <c r="X59" s="160"/>
      <c r="Y59" s="165"/>
      <c r="Z59" s="134" t="s">
        <v>248</v>
      </c>
      <c r="AA59" s="167">
        <f>24*$AA$58</f>
        <v>0.9999999999999994</v>
      </c>
      <c r="AB59" s="166"/>
      <c r="AC59" s="160"/>
      <c r="AD59" s="160"/>
      <c r="AE59" s="160"/>
      <c r="AF59" s="160"/>
      <c r="AG59" s="160"/>
      <c r="AH59" s="160"/>
      <c r="AI59" s="105" t="str">
        <f>$AJ$89</f>
        <v> </v>
      </c>
      <c r="AJ59" s="103"/>
      <c r="AK59" s="103"/>
      <c r="AL59" s="103"/>
      <c r="AM59" s="132">
        <f>IF(LEFT($AK$52)="T"," ",IF(LEFT($AM$55)="T",12*TAN(RADIANS($AC$8)),IF(LEFT($AM$56)="T",12*TAN(RADIANS($AC$8))," ")))</f>
        <v>11.999999999999998</v>
      </c>
      <c r="AN59" s="133" t="str">
        <f>IF(LEFT($AK$52)="T"," ",IF(LEFT($AM$55)="T",": OVER 12",IF(LEFT($AM$56)="T",": OVER 12"," ")))</f>
        <v>: OVER 12</v>
      </c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11"/>
      <c r="BJ59" s="103" t="s">
        <v>79</v>
      </c>
      <c r="BK59" s="103">
        <f>TAN($AJ$26*$BJ$8)</f>
        <v>0.3015113445777637</v>
      </c>
      <c r="BL59" s="103"/>
      <c r="BM59" s="103"/>
      <c r="BN59" s="103"/>
      <c r="BO59" s="103"/>
    </row>
    <row r="60" spans="2:67" ht="15.75">
      <c r="B60" s="43"/>
      <c r="C60" s="21"/>
      <c r="D60" s="72"/>
      <c r="E60" s="2"/>
      <c r="F60" s="2"/>
      <c r="G60" s="2"/>
      <c r="H60" s="2"/>
      <c r="I60" s="2"/>
      <c r="J60" s="2"/>
      <c r="K60" s="2"/>
      <c r="L60" s="13"/>
      <c r="M60" s="44"/>
      <c r="N60" s="2"/>
      <c r="O60" s="2"/>
      <c r="P60" s="2"/>
      <c r="Q60" s="2"/>
      <c r="R60" s="2"/>
      <c r="V60" s="103"/>
      <c r="W60" s="103"/>
      <c r="X60" s="160"/>
      <c r="Y60" s="165"/>
      <c r="Z60" s="134" t="s">
        <v>250</v>
      </c>
      <c r="AA60" s="167">
        <f>0</f>
        <v>0</v>
      </c>
      <c r="AB60" s="166"/>
      <c r="AC60" s="160"/>
      <c r="AD60" s="160"/>
      <c r="AE60" s="160"/>
      <c r="AF60" s="160"/>
      <c r="AG60" s="160"/>
      <c r="AH60" s="160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11"/>
      <c r="BJ60" s="103" t="s">
        <v>80</v>
      </c>
      <c r="BK60" s="103">
        <f>TAN($AN$26*$BJ$8)</f>
        <v>0.3015113445777637</v>
      </c>
      <c r="BL60" s="103"/>
      <c r="BM60" s="103"/>
      <c r="BN60" s="103"/>
      <c r="BO60" s="103"/>
    </row>
    <row r="61" spans="2:67" ht="16.5" thickBot="1">
      <c r="B61" s="43"/>
      <c r="C61" s="21"/>
      <c r="D61" s="70" t="s">
        <v>196</v>
      </c>
      <c r="E61" s="2"/>
      <c r="F61" s="2"/>
      <c r="G61" s="2"/>
      <c r="H61" s="2"/>
      <c r="I61" s="2"/>
      <c r="J61" s="2"/>
      <c r="K61" s="2"/>
      <c r="L61" s="13"/>
      <c r="M61" s="44"/>
      <c r="N61" s="2"/>
      <c r="O61" s="2"/>
      <c r="P61" s="2"/>
      <c r="Q61" s="2"/>
      <c r="R61" s="2"/>
      <c r="V61" s="103"/>
      <c r="W61" s="103"/>
      <c r="X61" s="160"/>
      <c r="Y61" s="165"/>
      <c r="Z61" s="134" t="s">
        <v>243</v>
      </c>
      <c r="AA61" s="101">
        <f ca="1">NOW()</f>
        <v>38999.56628680556</v>
      </c>
      <c r="AB61" s="166"/>
      <c r="AC61" s="160"/>
      <c r="AD61" s="160"/>
      <c r="AE61" s="160"/>
      <c r="AF61" s="160"/>
      <c r="AG61" s="160"/>
      <c r="AH61" s="160"/>
      <c r="AI61" s="135"/>
      <c r="AJ61" s="136"/>
      <c r="AK61" s="136"/>
      <c r="AL61" s="136"/>
      <c r="AM61" s="136"/>
      <c r="AN61" s="136"/>
      <c r="AO61" s="137"/>
      <c r="AP61" s="103"/>
      <c r="AQ61" s="138" t="str">
        <f>IF(LEFT(G$14)="Y","COMPLEMENTARY VALUES"," ")</f>
        <v> </v>
      </c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11"/>
      <c r="BJ61" s="103"/>
      <c r="BK61" s="103"/>
      <c r="BL61" s="103"/>
      <c r="BM61" s="103"/>
      <c r="BN61" s="103"/>
      <c r="BO61" s="103"/>
    </row>
    <row r="62" spans="2:67" ht="16.5" thickBot="1">
      <c r="B62" s="43"/>
      <c r="C62" s="21"/>
      <c r="D62" s="72" t="s">
        <v>197</v>
      </c>
      <c r="E62" s="2"/>
      <c r="F62" s="2"/>
      <c r="G62" s="2"/>
      <c r="H62" s="2"/>
      <c r="I62" s="2"/>
      <c r="J62" s="2"/>
      <c r="K62" s="2"/>
      <c r="L62" s="13"/>
      <c r="M62" s="45"/>
      <c r="N62" s="2"/>
      <c r="O62" s="2"/>
      <c r="P62" s="2"/>
      <c r="Q62" s="2"/>
      <c r="R62" s="2"/>
      <c r="V62" s="103"/>
      <c r="W62" s="103"/>
      <c r="X62" s="160"/>
      <c r="Y62" s="165"/>
      <c r="Z62" s="139" t="s">
        <v>244</v>
      </c>
      <c r="AA62" s="168">
        <f>$AA$61+60</f>
        <v>39059.56628680556</v>
      </c>
      <c r="AB62" s="166"/>
      <c r="AC62" s="160"/>
      <c r="AD62" s="160"/>
      <c r="AE62" s="160"/>
      <c r="AF62" s="169"/>
      <c r="AG62" s="160"/>
      <c r="AH62" s="160"/>
      <c r="AI62" s="140"/>
      <c r="AJ62" s="141" t="str">
        <f>IF(LEFT($AM$53)="T",$AN$53,IF(LEFT($AM$54)="T",$AN$54,IF(LEFT($AM$55)="T",$AN$55,IF(LEFT($AM$56)="T",$AN$56," "))))</f>
        <v>MAIN SIDE</v>
      </c>
      <c r="AK62" s="142"/>
      <c r="AL62" s="142"/>
      <c r="AM62" s="142"/>
      <c r="AN62" s="142"/>
      <c r="AO62" s="143"/>
      <c r="AP62" s="103"/>
      <c r="AQ62" s="144" t="str">
        <f>IF(LEFT($AK$52)="T","DD or D EXCEEDS 90 DEGREES"," ")</f>
        <v> </v>
      </c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11"/>
      <c r="BJ62" s="103"/>
      <c r="BK62" s="103" t="s">
        <v>88</v>
      </c>
      <c r="BL62" s="103"/>
      <c r="BM62" s="103"/>
      <c r="BN62" s="103"/>
      <c r="BO62" s="103"/>
    </row>
    <row r="63" spans="2:67" ht="15.75">
      <c r="B63" s="43"/>
      <c r="C63" s="21"/>
      <c r="D63" s="72" t="s">
        <v>198</v>
      </c>
      <c r="E63" s="2"/>
      <c r="F63" s="2"/>
      <c r="G63" s="2"/>
      <c r="H63" s="2"/>
      <c r="I63" s="2"/>
      <c r="J63" s="2"/>
      <c r="K63" s="2"/>
      <c r="L63" s="13"/>
      <c r="M63" s="45"/>
      <c r="N63" s="2"/>
      <c r="O63" s="2"/>
      <c r="P63" s="2"/>
      <c r="Q63" s="2"/>
      <c r="R63" s="2"/>
      <c r="V63" s="103"/>
      <c r="W63" s="103"/>
      <c r="X63" s="160"/>
      <c r="Y63" s="165"/>
      <c r="Z63" s="145" t="s">
        <v>245</v>
      </c>
      <c r="AA63" s="170">
        <v>38075.2511</v>
      </c>
      <c r="AB63" s="166"/>
      <c r="AC63" s="160"/>
      <c r="AD63" s="160"/>
      <c r="AE63" s="160"/>
      <c r="AF63" s="160"/>
      <c r="AG63" s="160"/>
      <c r="AH63" s="160"/>
      <c r="AI63" s="140"/>
      <c r="AJ63" s="142" t="str">
        <f>IF(LEFT($AM$57)="T",$AN$57,IF(LEFT($AM$58)="T",$AN$58," "))</f>
        <v> </v>
      </c>
      <c r="AK63" s="142"/>
      <c r="AL63" s="142"/>
      <c r="AM63" s="142"/>
      <c r="AN63" s="142"/>
      <c r="AO63" s="14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 t="s">
        <v>94</v>
      </c>
      <c r="BK63" s="103"/>
      <c r="BL63" s="103">
        <f>$BK10+$BK13</f>
        <v>1</v>
      </c>
      <c r="BM63" s="103"/>
      <c r="BN63" s="103"/>
      <c r="BO63" s="103"/>
    </row>
    <row r="64" spans="2:67" ht="15.75">
      <c r="B64" s="43"/>
      <c r="C64" s="21"/>
      <c r="D64" s="72" t="s">
        <v>199</v>
      </c>
      <c r="E64" s="2"/>
      <c r="F64" s="2"/>
      <c r="G64" s="2"/>
      <c r="H64" s="2"/>
      <c r="I64" s="2"/>
      <c r="J64" s="2"/>
      <c r="K64" s="2"/>
      <c r="L64" s="13"/>
      <c r="M64" s="45"/>
      <c r="N64" s="3"/>
      <c r="O64" s="2"/>
      <c r="P64" s="2"/>
      <c r="Q64" s="2"/>
      <c r="R64" s="2"/>
      <c r="V64" s="103"/>
      <c r="W64" s="103"/>
      <c r="X64" s="160"/>
      <c r="Y64" s="165"/>
      <c r="Z64" s="134" t="s">
        <v>251</v>
      </c>
      <c r="AA64" s="101">
        <f>$AA$63-$AA$61</f>
        <v>-924.3151868055575</v>
      </c>
      <c r="AB64" s="166"/>
      <c r="AC64" s="160"/>
      <c r="AD64" s="160"/>
      <c r="AE64" s="160"/>
      <c r="AF64" s="160"/>
      <c r="AG64" s="160"/>
      <c r="AH64" s="160"/>
      <c r="AI64" s="140"/>
      <c r="AJ64" s="146" t="str">
        <f>IF(LEFT($AK$52)="T","ALTERNATE ANGLE VALUES"," ")</f>
        <v> </v>
      </c>
      <c r="AK64" s="142"/>
      <c r="AL64" s="142"/>
      <c r="AM64" s="142"/>
      <c r="AN64" s="142"/>
      <c r="AO64" s="14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 t="s">
        <v>95</v>
      </c>
      <c r="BK64" s="103"/>
      <c r="BL64" s="103">
        <f>$BK11+$BK13</f>
        <v>1</v>
      </c>
      <c r="BM64" s="103"/>
      <c r="BN64" s="103"/>
      <c r="BO64" s="103"/>
    </row>
    <row r="65" spans="2:67" ht="15.75">
      <c r="B65" s="43"/>
      <c r="C65" s="21"/>
      <c r="D65" s="72" t="s">
        <v>200</v>
      </c>
      <c r="E65" s="2"/>
      <c r="F65" s="2"/>
      <c r="G65" s="2"/>
      <c r="H65" s="2"/>
      <c r="I65" s="2"/>
      <c r="J65" s="2"/>
      <c r="K65" s="2"/>
      <c r="L65" s="13"/>
      <c r="M65" s="45"/>
      <c r="N65" s="2"/>
      <c r="O65" s="2"/>
      <c r="P65" s="2"/>
      <c r="Q65" s="2"/>
      <c r="R65" s="2"/>
      <c r="V65" s="103"/>
      <c r="W65" s="103"/>
      <c r="X65" s="160"/>
      <c r="Y65" s="165"/>
      <c r="Z65" s="171" t="s">
        <v>252</v>
      </c>
      <c r="AA65" s="101" t="b">
        <f>$AA$64&gt;0</f>
        <v>0</v>
      </c>
      <c r="AB65" s="166"/>
      <c r="AC65" s="134"/>
      <c r="AD65" s="107"/>
      <c r="AE65" s="160"/>
      <c r="AF65" s="160"/>
      <c r="AG65" s="160"/>
      <c r="AH65" s="160"/>
      <c r="AI65" s="140"/>
      <c r="AJ65" s="147" t="str">
        <f>IF(LEFT($AK$52)="t","          IF DD or D EXCEEDS 90 DEGREES :"," ")</f>
        <v> </v>
      </c>
      <c r="AK65" s="142"/>
      <c r="AL65" s="142"/>
      <c r="AM65" s="142"/>
      <c r="AN65" s="142"/>
      <c r="AO65" s="14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 t="s">
        <v>97</v>
      </c>
      <c r="BK65" s="103"/>
      <c r="BL65" s="103">
        <f>($BK$10)^2</f>
        <v>1</v>
      </c>
      <c r="BM65" s="103"/>
      <c r="BN65" s="103"/>
      <c r="BO65" s="103"/>
    </row>
    <row r="66" spans="2:67" ht="15.75">
      <c r="B66" s="43"/>
      <c r="C66" s="21"/>
      <c r="D66" s="72"/>
      <c r="E66" s="2"/>
      <c r="F66" s="2"/>
      <c r="G66" s="2"/>
      <c r="H66" s="2"/>
      <c r="I66" s="2"/>
      <c r="J66" s="2"/>
      <c r="K66" s="2"/>
      <c r="L66" s="13"/>
      <c r="M66" s="45"/>
      <c r="N66" s="2"/>
      <c r="O66" s="2"/>
      <c r="P66" s="2"/>
      <c r="Q66" s="2"/>
      <c r="R66" s="2"/>
      <c r="V66" s="103"/>
      <c r="W66" s="103"/>
      <c r="X66" s="160"/>
      <c r="Y66" s="165"/>
      <c r="Z66" s="134" t="s">
        <v>253</v>
      </c>
      <c r="AA66" s="101" t="b">
        <f>AND($AA$65,$HH$9000)</f>
        <v>0</v>
      </c>
      <c r="AB66" s="166"/>
      <c r="AC66" s="107"/>
      <c r="AD66" s="107"/>
      <c r="AE66" s="160"/>
      <c r="AF66" s="160"/>
      <c r="AG66" s="160"/>
      <c r="AH66" s="160"/>
      <c r="AI66" s="140"/>
      <c r="AJ66" s="142"/>
      <c r="AK66" s="142"/>
      <c r="AL66" s="142"/>
      <c r="AM66" s="142"/>
      <c r="AN66" s="142"/>
      <c r="AO66" s="14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 t="s">
        <v>98</v>
      </c>
      <c r="BK66" s="103"/>
      <c r="BL66" s="103">
        <f>($BK$11)^2</f>
        <v>1</v>
      </c>
      <c r="BM66" s="103"/>
      <c r="BN66" s="103"/>
      <c r="BO66" s="103"/>
    </row>
    <row r="67" spans="2:67" ht="16.5" thickBot="1">
      <c r="B67" s="43"/>
      <c r="C67" s="21"/>
      <c r="D67" s="72" t="s">
        <v>201</v>
      </c>
      <c r="E67" s="2"/>
      <c r="F67" s="2"/>
      <c r="G67" s="2"/>
      <c r="H67" s="2"/>
      <c r="I67" s="2"/>
      <c r="J67" s="2"/>
      <c r="K67" s="2"/>
      <c r="L67" s="13"/>
      <c r="M67" s="44"/>
      <c r="N67" s="2"/>
      <c r="O67" s="2"/>
      <c r="P67" s="2"/>
      <c r="Q67" s="2"/>
      <c r="R67" s="2"/>
      <c r="V67" s="103"/>
      <c r="W67" s="103"/>
      <c r="X67" s="160"/>
      <c r="Y67" s="172"/>
      <c r="Z67" s="173"/>
      <c r="AA67" s="173"/>
      <c r="AB67" s="174"/>
      <c r="AC67" s="107"/>
      <c r="AD67" s="107"/>
      <c r="AE67" s="160"/>
      <c r="AF67" s="160"/>
      <c r="AG67" s="160"/>
      <c r="AH67" s="160"/>
      <c r="AI67" s="148" t="str">
        <f>IF(LEFT($AK$52)="T"," ",IF(LEFT($G$15)="y","* * * * *"," "))</f>
        <v> </v>
      </c>
      <c r="AJ67" s="147" t="str">
        <f>IF(LEFT($AK$52)="T","CAUTION",IF(LEFT($G$15)="y","COMPOUND"," "))</f>
        <v> </v>
      </c>
      <c r="AK67" s="142"/>
      <c r="AL67" s="147" t="str">
        <f>IF(LEFT($AK$52)="T","CAUTION"," ")</f>
        <v> </v>
      </c>
      <c r="AM67" s="142"/>
      <c r="AN67" s="142"/>
      <c r="AO67" s="14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 t="s">
        <v>96</v>
      </c>
      <c r="BK67" s="103"/>
      <c r="BL67" s="103">
        <f>2*$BK$10*$BK$13</f>
        <v>1.22514845490862E-16</v>
      </c>
      <c r="BM67" s="103"/>
      <c r="BN67" s="103"/>
      <c r="BO67" s="103"/>
    </row>
    <row r="68" spans="2:67" ht="15.75">
      <c r="B68" s="43"/>
      <c r="C68" s="21"/>
      <c r="D68" s="72" t="s">
        <v>202</v>
      </c>
      <c r="E68" s="2"/>
      <c r="F68" s="2"/>
      <c r="G68" s="2"/>
      <c r="H68" s="2"/>
      <c r="I68" s="2"/>
      <c r="J68" s="2"/>
      <c r="K68" s="2"/>
      <c r="L68" s="13"/>
      <c r="M68" s="44"/>
      <c r="N68" s="2"/>
      <c r="O68" s="2"/>
      <c r="P68" s="2"/>
      <c r="Q68" s="2"/>
      <c r="R68" s="2"/>
      <c r="V68" s="103"/>
      <c r="W68" s="103"/>
      <c r="X68" s="160"/>
      <c r="Y68" s="160"/>
      <c r="Z68" s="160"/>
      <c r="AA68" s="107"/>
      <c r="AB68" s="107"/>
      <c r="AC68" s="107"/>
      <c r="AD68" s="107"/>
      <c r="AE68" s="160"/>
      <c r="AF68" s="160"/>
      <c r="AG68" s="160"/>
      <c r="AH68" s="160"/>
      <c r="AI68" s="148"/>
      <c r="AJ68" s="147" t="str">
        <f>IF(LEFT($AK$52)="T"," ",IF(LEFT($G$15)="y","COMPOUND"," "))</f>
        <v> </v>
      </c>
      <c r="AK68" s="142"/>
      <c r="AL68" s="147"/>
      <c r="AM68" s="142"/>
      <c r="AN68" s="142"/>
      <c r="AO68" s="14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 t="s">
        <v>99</v>
      </c>
      <c r="BK68" s="103"/>
      <c r="BL68" s="103">
        <f>2*$BK$11*$BK$13</f>
        <v>1.22514845490862E-16</v>
      </c>
      <c r="BM68" s="103"/>
      <c r="BN68" s="103"/>
      <c r="BO68" s="103"/>
    </row>
    <row r="69" spans="2:67" ht="15.75">
      <c r="B69" s="43"/>
      <c r="C69" s="21"/>
      <c r="D69" s="72" t="s">
        <v>203</v>
      </c>
      <c r="E69" s="2"/>
      <c r="F69" s="2"/>
      <c r="G69" s="2"/>
      <c r="H69" s="2"/>
      <c r="I69" s="2"/>
      <c r="J69" s="2"/>
      <c r="K69" s="2"/>
      <c r="L69" s="13"/>
      <c r="M69" s="44"/>
      <c r="N69" s="2"/>
      <c r="O69" s="2"/>
      <c r="P69" s="2"/>
      <c r="Q69" s="2"/>
      <c r="R69" s="2"/>
      <c r="V69" s="103"/>
      <c r="W69" s="103"/>
      <c r="X69" s="103"/>
      <c r="Y69" s="103"/>
      <c r="Z69" s="103"/>
      <c r="AA69" s="102"/>
      <c r="AB69" s="175" t="b">
        <f>$HH$8888="JOSEPH BARTOK"</f>
        <v>1</v>
      </c>
      <c r="AC69" s="107"/>
      <c r="AD69" s="107"/>
      <c r="AE69" s="160"/>
      <c r="AF69" s="160"/>
      <c r="AG69" s="160"/>
      <c r="AH69" s="160"/>
      <c r="AI69" s="148"/>
      <c r="AJ69" s="147" t="str">
        <f>IF(LEFT($AK$52)="T","CAUTION",IF(LEFT($G$15)="y","COMPOUND"," "))</f>
        <v> </v>
      </c>
      <c r="AK69" s="142"/>
      <c r="AL69" s="147"/>
      <c r="AM69" s="142"/>
      <c r="AN69" s="142"/>
      <c r="AO69" s="14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 t="s">
        <v>100</v>
      </c>
      <c r="BK69" s="103"/>
      <c r="BL69" s="103">
        <f>SQRT(($BL$65+$BL$67+1))</f>
        <v>1.4142135623730951</v>
      </c>
      <c r="BM69" s="103"/>
      <c r="BN69" s="103"/>
      <c r="BO69" s="103"/>
    </row>
    <row r="70" spans="2:67" ht="15.75">
      <c r="B70" s="43"/>
      <c r="C70" s="21"/>
      <c r="D70" s="72" t="s">
        <v>204</v>
      </c>
      <c r="E70" s="2"/>
      <c r="F70" s="16"/>
      <c r="G70" s="16"/>
      <c r="H70" s="16"/>
      <c r="I70" s="16"/>
      <c r="J70" s="16"/>
      <c r="K70" s="16"/>
      <c r="L70" s="13"/>
      <c r="M70" s="44"/>
      <c r="N70" s="2"/>
      <c r="O70" s="2"/>
      <c r="P70" s="2"/>
      <c r="Q70" s="2"/>
      <c r="R70" s="2"/>
      <c r="V70" s="103"/>
      <c r="W70" s="103"/>
      <c r="X70" s="103"/>
      <c r="Y70" s="103"/>
      <c r="Z70" s="103"/>
      <c r="AA70" s="102"/>
      <c r="AB70" s="107"/>
      <c r="AC70" s="107"/>
      <c r="AD70" s="107"/>
      <c r="AE70" s="160"/>
      <c r="AF70" s="160"/>
      <c r="AG70" s="160"/>
      <c r="AH70" s="160"/>
      <c r="AI70" s="148"/>
      <c r="AJ70" s="147" t="str">
        <f>IF(LEFT($AK$52)="T","CAUTION",IF(LEFT($G$15)="y","COMPOUND"," "))</f>
        <v> </v>
      </c>
      <c r="AK70" s="142"/>
      <c r="AL70" s="147"/>
      <c r="AM70" s="142"/>
      <c r="AN70" s="142"/>
      <c r="AO70" s="14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 t="s">
        <v>101</v>
      </c>
      <c r="BK70" s="103"/>
      <c r="BL70" s="103">
        <f>SQRT(($BL$66+$BL$68+1))</f>
        <v>1.4142135623730951</v>
      </c>
      <c r="BM70" s="103"/>
      <c r="BN70" s="103"/>
      <c r="BO70" s="103"/>
    </row>
    <row r="71" spans="2:67" ht="15.75">
      <c r="B71" s="43"/>
      <c r="C71" s="21"/>
      <c r="D71" s="72" t="s">
        <v>205</v>
      </c>
      <c r="E71" s="16"/>
      <c r="F71" s="2"/>
      <c r="G71" s="2"/>
      <c r="H71" s="2"/>
      <c r="I71" s="2"/>
      <c r="J71" s="2"/>
      <c r="K71" s="2"/>
      <c r="L71" s="13"/>
      <c r="M71" s="44"/>
      <c r="N71" s="2"/>
      <c r="O71" s="2"/>
      <c r="P71" s="2"/>
      <c r="Q71" s="2"/>
      <c r="R71" s="2"/>
      <c r="V71" s="103"/>
      <c r="W71" s="103"/>
      <c r="X71" s="103"/>
      <c r="Y71" s="103"/>
      <c r="Z71" s="103"/>
      <c r="AA71" s="102"/>
      <c r="AB71" s="107"/>
      <c r="AC71" s="107"/>
      <c r="AD71" s="107"/>
      <c r="AE71" s="160"/>
      <c r="AF71" s="160"/>
      <c r="AG71" s="160"/>
      <c r="AH71" s="160"/>
      <c r="AI71" s="148"/>
      <c r="AJ71" s="147" t="str">
        <f>IF(LEFT($AK$52)="T"," ",IF(LEFT($G$15)="y","COMPOUND"," "))</f>
        <v> </v>
      </c>
      <c r="AK71" s="142"/>
      <c r="AL71" s="147"/>
      <c r="AM71" s="142"/>
      <c r="AN71" s="142"/>
      <c r="AO71" s="14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 t="s">
        <v>103</v>
      </c>
      <c r="BL71" s="103"/>
      <c r="BM71" s="103"/>
      <c r="BN71" s="103"/>
      <c r="BO71" s="103"/>
    </row>
    <row r="72" spans="2:67" ht="15.75">
      <c r="B72" s="43"/>
      <c r="C72" s="21"/>
      <c r="D72" s="70" t="s">
        <v>206</v>
      </c>
      <c r="E72" s="2"/>
      <c r="F72" s="2"/>
      <c r="G72" s="2"/>
      <c r="H72" s="2"/>
      <c r="I72" s="2"/>
      <c r="J72" s="2"/>
      <c r="K72" s="2"/>
      <c r="L72" s="13"/>
      <c r="M72" s="44"/>
      <c r="N72" s="2"/>
      <c r="O72" s="2"/>
      <c r="P72" s="2"/>
      <c r="Q72" s="2"/>
      <c r="R72" s="2"/>
      <c r="V72" s="103"/>
      <c r="W72" s="103"/>
      <c r="X72" s="103"/>
      <c r="Y72" s="103"/>
      <c r="Z72" s="103"/>
      <c r="AA72" s="102"/>
      <c r="AB72" s="107"/>
      <c r="AC72" s="107"/>
      <c r="AD72" s="107"/>
      <c r="AE72" s="160"/>
      <c r="AF72" s="160"/>
      <c r="AG72" s="160"/>
      <c r="AH72" s="160"/>
      <c r="AI72" s="148"/>
      <c r="AJ72" s="147" t="str">
        <f>IF(LEFT($AK$52)="T"," ",IF(LEFT($G$15)="y","COMPOUND"," "))</f>
        <v> </v>
      </c>
      <c r="AK72" s="142"/>
      <c r="AL72" s="147"/>
      <c r="AM72" s="142"/>
      <c r="AN72" s="142"/>
      <c r="AO72" s="14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 t="s">
        <v>102</v>
      </c>
      <c r="BL72" s="103" t="s">
        <v>85</v>
      </c>
      <c r="BM72" s="103" t="s">
        <v>86</v>
      </c>
      <c r="BN72" s="103" t="s">
        <v>87</v>
      </c>
      <c r="BO72" s="103"/>
    </row>
    <row r="73" spans="2:67" ht="15.75">
      <c r="B73" s="43"/>
      <c r="C73" s="21"/>
      <c r="D73" s="73" t="s">
        <v>207</v>
      </c>
      <c r="E73" s="2"/>
      <c r="F73" s="2"/>
      <c r="G73" s="2"/>
      <c r="H73" s="2"/>
      <c r="I73" s="2"/>
      <c r="J73" s="2"/>
      <c r="K73" s="2"/>
      <c r="L73" s="13"/>
      <c r="M73" s="44"/>
      <c r="N73" s="2"/>
      <c r="O73" s="2"/>
      <c r="P73" s="2"/>
      <c r="Q73" s="2"/>
      <c r="R73" s="2"/>
      <c r="V73" s="103"/>
      <c r="W73" s="103"/>
      <c r="X73" s="103"/>
      <c r="Y73" s="103"/>
      <c r="Z73" s="103"/>
      <c r="AA73" s="102"/>
      <c r="AB73" s="107"/>
      <c r="AC73" s="107"/>
      <c r="AD73" s="107"/>
      <c r="AE73" s="160"/>
      <c r="AF73" s="160"/>
      <c r="AG73" s="160"/>
      <c r="AH73" s="160"/>
      <c r="AI73" s="148"/>
      <c r="AJ73" s="147" t="str">
        <f>IF(LEFT($AK$52)="T","",IF(LEFT($G$15)="y","COMPOUND"," "))</f>
        <v> </v>
      </c>
      <c r="AK73" s="142"/>
      <c r="AL73" s="142"/>
      <c r="AM73" s="142"/>
      <c r="AN73" s="142"/>
      <c r="AO73" s="14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 t="s">
        <v>2</v>
      </c>
      <c r="BK73" s="103">
        <f>ACOS($BM$73)</f>
        <v>0.7853981633974483</v>
      </c>
      <c r="BL73" s="103">
        <f aca="true" t="shared" si="18" ref="BL73:BL88">SIN($BK$73:$BK$88)</f>
        <v>0.7071067811865475</v>
      </c>
      <c r="BM73" s="103">
        <f>$BL$63/$BL$69</f>
        <v>0.7071067811865475</v>
      </c>
      <c r="BN73" s="103">
        <f aca="true" t="shared" si="19" ref="BN73:BN88">TAN($BK$73:$BK$88)</f>
        <v>0.9999999999999999</v>
      </c>
      <c r="BO73" s="103"/>
    </row>
    <row r="74" spans="2:67" ht="15.75">
      <c r="B74" s="43"/>
      <c r="C74" s="21"/>
      <c r="D74" s="72" t="s">
        <v>208</v>
      </c>
      <c r="E74" s="2"/>
      <c r="F74" s="2"/>
      <c r="G74" s="2"/>
      <c r="H74" s="2"/>
      <c r="I74" s="2"/>
      <c r="J74" s="2"/>
      <c r="K74" s="2"/>
      <c r="L74" s="13"/>
      <c r="M74" s="44"/>
      <c r="N74" s="2"/>
      <c r="O74" s="2"/>
      <c r="P74" s="2"/>
      <c r="Q74" s="2"/>
      <c r="R74" s="2"/>
      <c r="V74" s="103"/>
      <c r="W74" s="103"/>
      <c r="X74" s="103"/>
      <c r="Y74" s="103"/>
      <c r="Z74" s="103"/>
      <c r="AA74" s="102"/>
      <c r="AB74" s="107"/>
      <c r="AC74" s="107"/>
      <c r="AD74" s="107"/>
      <c r="AE74" s="160"/>
      <c r="AF74" s="160"/>
      <c r="AG74" s="160"/>
      <c r="AH74" s="160"/>
      <c r="AI74" s="148"/>
      <c r="AJ74" s="147" t="str">
        <f>IF(LEFT($AK$52)="T"," ",IF(LEFT($G$15)="y","COMPOUND"," "))</f>
        <v> </v>
      </c>
      <c r="AK74" s="142"/>
      <c r="AL74" s="142"/>
      <c r="AM74" s="142"/>
      <c r="AN74" s="142"/>
      <c r="AO74" s="14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 t="s">
        <v>3</v>
      </c>
      <c r="BK74" s="103">
        <f>ACOS($BM$74)</f>
        <v>0.7853981633974483</v>
      </c>
      <c r="BL74" s="103">
        <f t="shared" si="18"/>
        <v>0.7071067811865475</v>
      </c>
      <c r="BM74" s="103">
        <f>$BL$64/$BL$70</f>
        <v>0.7071067811865475</v>
      </c>
      <c r="BN74" s="103">
        <f t="shared" si="19"/>
        <v>0.9999999999999999</v>
      </c>
      <c r="BO74" s="103"/>
    </row>
    <row r="75" spans="2:67" ht="15.75">
      <c r="B75" s="43"/>
      <c r="C75" s="21"/>
      <c r="D75" s="72" t="s">
        <v>209</v>
      </c>
      <c r="E75" s="2"/>
      <c r="F75" s="2"/>
      <c r="G75" s="2"/>
      <c r="H75" s="2"/>
      <c r="I75" s="2"/>
      <c r="J75" s="2"/>
      <c r="K75" s="2"/>
      <c r="L75" s="13"/>
      <c r="M75" s="44"/>
      <c r="N75" s="2"/>
      <c r="O75" s="2"/>
      <c r="P75" s="2"/>
      <c r="Q75" s="2"/>
      <c r="R75" s="2"/>
      <c r="V75" s="103"/>
      <c r="W75" s="103"/>
      <c r="X75" s="103"/>
      <c r="Y75" s="103"/>
      <c r="Z75" s="103"/>
      <c r="AA75" s="102"/>
      <c r="AB75" s="107"/>
      <c r="AC75" s="107"/>
      <c r="AD75" s="107"/>
      <c r="AE75" s="160"/>
      <c r="AF75" s="160"/>
      <c r="AG75" s="160"/>
      <c r="AH75" s="160"/>
      <c r="AI75" s="148"/>
      <c r="AJ75" s="147" t="str">
        <f>IF(LEFT($AK$52)="T"," ",IF(LEFT($G$15)="y","COMPOUND"," "))</f>
        <v> </v>
      </c>
      <c r="AK75" s="142"/>
      <c r="AL75" s="142"/>
      <c r="AM75" s="142"/>
      <c r="AN75" s="142"/>
      <c r="AO75" s="14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 t="s">
        <v>4</v>
      </c>
      <c r="BK75" s="103">
        <f>RADIANS($AJ$44)</f>
        <v>0.7853981633974483</v>
      </c>
      <c r="BL75" s="103">
        <f t="shared" si="18"/>
        <v>0.7071067811865475</v>
      </c>
      <c r="BM75" s="103">
        <f>COS($BK$75)</f>
        <v>0.7071067811865476</v>
      </c>
      <c r="BN75" s="103">
        <f t="shared" si="19"/>
        <v>0.9999999999999999</v>
      </c>
      <c r="BO75" s="103"/>
    </row>
    <row r="76" spans="2:67" ht="12.75">
      <c r="B76" s="43"/>
      <c r="C76" s="47"/>
      <c r="D76" s="14"/>
      <c r="E76" s="14"/>
      <c r="F76" s="14"/>
      <c r="G76" s="14"/>
      <c r="H76" s="14"/>
      <c r="I76" s="14"/>
      <c r="J76" s="14"/>
      <c r="K76" s="14"/>
      <c r="L76" s="48"/>
      <c r="M76" s="44"/>
      <c r="O76" s="2"/>
      <c r="P76" s="2"/>
      <c r="Q76" s="2"/>
      <c r="R76" s="2"/>
      <c r="V76" s="103"/>
      <c r="W76" s="103"/>
      <c r="X76" s="103"/>
      <c r="Y76" s="103"/>
      <c r="Z76" s="103"/>
      <c r="AA76" s="102"/>
      <c r="AB76" s="107"/>
      <c r="AC76" s="107"/>
      <c r="AD76" s="107"/>
      <c r="AE76" s="160"/>
      <c r="AF76" s="160"/>
      <c r="AG76" s="160"/>
      <c r="AH76" s="160"/>
      <c r="AI76" s="148"/>
      <c r="AJ76" s="147" t="str">
        <f>IF(LEFT($AK$52)="T"," ",IF(LEFT($G$15)="y","       ALL R1 EQUAL FOR COMPOUND JOINTS"," "))</f>
        <v> </v>
      </c>
      <c r="AK76" s="142"/>
      <c r="AL76" s="142"/>
      <c r="AM76" s="142"/>
      <c r="AN76" s="142"/>
      <c r="AO76" s="14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 t="s">
        <v>5</v>
      </c>
      <c r="BK76" s="103">
        <f>RADIANS($AN$44)</f>
        <v>0.7853981633974483</v>
      </c>
      <c r="BL76" s="103">
        <f t="shared" si="18"/>
        <v>0.7071067811865475</v>
      </c>
      <c r="BM76" s="103">
        <f>COS($BK$76)</f>
        <v>0.7071067811865476</v>
      </c>
      <c r="BN76" s="103">
        <f t="shared" si="19"/>
        <v>0.9999999999999999</v>
      </c>
      <c r="BO76" s="103"/>
    </row>
    <row r="77" spans="2:67" ht="12.75">
      <c r="B77" s="43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4"/>
      <c r="O77" s="2"/>
      <c r="P77" s="2"/>
      <c r="Q77" s="2"/>
      <c r="R77" s="2"/>
      <c r="V77" s="103"/>
      <c r="W77" s="103"/>
      <c r="X77" s="103"/>
      <c r="Y77" s="103"/>
      <c r="Z77" s="103"/>
      <c r="AA77" s="102"/>
      <c r="AB77" s="102"/>
      <c r="AC77" s="102"/>
      <c r="AD77" s="102"/>
      <c r="AE77" s="103"/>
      <c r="AF77" s="103"/>
      <c r="AG77" s="103"/>
      <c r="AH77" s="103"/>
      <c r="AI77" s="140"/>
      <c r="AJ77" s="102" t="b">
        <f>AND(LEFT($AK$52)="T",LEFT($G$15)&lt;&gt;"N")</f>
        <v>0</v>
      </c>
      <c r="AK77" s="142"/>
      <c r="AL77" s="142"/>
      <c r="AM77" s="142"/>
      <c r="AN77" s="142"/>
      <c r="AO77" s="14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 t="s">
        <v>106</v>
      </c>
      <c r="BK77" s="103">
        <f>ACOS($BM$77)</f>
        <v>0.6154797086703873</v>
      </c>
      <c r="BL77" s="103">
        <f t="shared" si="18"/>
        <v>0.5773502691896257</v>
      </c>
      <c r="BM77" s="103">
        <f>$BM$75/$BL$81</f>
        <v>0.816496580927726</v>
      </c>
      <c r="BN77" s="103">
        <f t="shared" si="19"/>
        <v>0.7071067811865474</v>
      </c>
      <c r="BO77" s="103"/>
    </row>
    <row r="78" spans="2:67" ht="13.5" thickBot="1"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  <c r="P78" s="2"/>
      <c r="Q78" s="2"/>
      <c r="R78" s="2"/>
      <c r="V78" s="103"/>
      <c r="W78" s="103"/>
      <c r="X78" s="103"/>
      <c r="Y78" s="103"/>
      <c r="Z78" s="103"/>
      <c r="AA78" s="102"/>
      <c r="AB78" s="102"/>
      <c r="AC78" s="102"/>
      <c r="AD78" s="102"/>
      <c r="AE78" s="103"/>
      <c r="AF78" s="103"/>
      <c r="AG78" s="103"/>
      <c r="AH78" s="103"/>
      <c r="AI78" s="140"/>
      <c r="AJ78" s="142" t="b">
        <f>AND(LEFT($AK$52)="T",LEFT($G$14)="Y")</f>
        <v>0</v>
      </c>
      <c r="AK78" s="142"/>
      <c r="AL78" s="142"/>
      <c r="AM78" s="142"/>
      <c r="AN78" s="142"/>
      <c r="AO78" s="14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 t="s">
        <v>107</v>
      </c>
      <c r="BK78" s="103">
        <f>ACOS($BM$78)</f>
        <v>0.6154797086703873</v>
      </c>
      <c r="BL78" s="103">
        <f t="shared" si="18"/>
        <v>0.5773502691896257</v>
      </c>
      <c r="BM78" s="103">
        <f>$BM$76/$BL$82</f>
        <v>0.816496580927726</v>
      </c>
      <c r="BN78" s="103">
        <f t="shared" si="19"/>
        <v>0.7071067811865474</v>
      </c>
      <c r="BO78" s="103"/>
    </row>
    <row r="79" spans="16:67" ht="12.75">
      <c r="P79" s="2"/>
      <c r="Q79" s="2"/>
      <c r="R79" s="2"/>
      <c r="V79" s="103"/>
      <c r="W79" s="103"/>
      <c r="X79" s="103"/>
      <c r="Y79" s="103"/>
      <c r="Z79" s="103"/>
      <c r="AA79" s="102"/>
      <c r="AB79" s="102"/>
      <c r="AC79" s="102"/>
      <c r="AD79" s="102"/>
      <c r="AE79" s="103"/>
      <c r="AF79" s="103"/>
      <c r="AG79" s="103"/>
      <c r="AH79" s="103"/>
      <c r="AI79" s="140"/>
      <c r="AJ79" s="149" t="str">
        <f>IF(LEFT($AJ$78)="t","( MAY NOT APPLY TO ALL ANGLES )"," ")</f>
        <v> </v>
      </c>
      <c r="AK79" s="103"/>
      <c r="AL79" s="103"/>
      <c r="AM79" s="103"/>
      <c r="AN79" s="150" t="str">
        <f>IF(LEFT($G$15)="Y","SIDE 1 PITCH: SUM of (90-P2) / 2","MAIN PITCH")</f>
        <v>MAIN PITCH</v>
      </c>
      <c r="AO79" s="14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 t="s">
        <v>104</v>
      </c>
      <c r="BK79" s="103">
        <f>ACOS($BM$73*$BM$77)</f>
        <v>0.9553166181245093</v>
      </c>
      <c r="BL79" s="103">
        <f t="shared" si="18"/>
        <v>0.816496580927726</v>
      </c>
      <c r="BM79" s="103">
        <f>$BM$73*$BM$77</f>
        <v>0.5773502691896257</v>
      </c>
      <c r="BN79" s="103">
        <f t="shared" si="19"/>
        <v>1.4142135623730951</v>
      </c>
      <c r="BO79" s="103"/>
    </row>
    <row r="80" spans="15:67" ht="12.75">
      <c r="O80" s="2"/>
      <c r="P80" s="2"/>
      <c r="Q80" s="2"/>
      <c r="R80" s="2"/>
      <c r="V80" s="103"/>
      <c r="W80" s="103"/>
      <c r="X80" s="103"/>
      <c r="Y80" s="103"/>
      <c r="Z80" s="103"/>
      <c r="AA80" s="102"/>
      <c r="AB80" s="102"/>
      <c r="AC80" s="102"/>
      <c r="AD80" s="102"/>
      <c r="AE80" s="103"/>
      <c r="AF80" s="103"/>
      <c r="AG80" s="103"/>
      <c r="AH80" s="103"/>
      <c r="AI80" s="140"/>
      <c r="AJ80" s="142"/>
      <c r="AK80" s="142"/>
      <c r="AL80" s="103"/>
      <c r="AM80" s="103"/>
      <c r="AN80" s="150" t="str">
        <f>IF(LEFT($G$15)="Y","SIDE 2 PITCH: SUM of (90-P2) / 2","ADJACENT PITCH")</f>
        <v>ADJACENT PITCH</v>
      </c>
      <c r="AO80" s="14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 t="s">
        <v>105</v>
      </c>
      <c r="BK80" s="103">
        <f>ACOS($BM$74*$BM$78)</f>
        <v>0.9553166181245093</v>
      </c>
      <c r="BL80" s="103">
        <f t="shared" si="18"/>
        <v>0.816496580927726</v>
      </c>
      <c r="BM80" s="103">
        <f>$BM$74*$BM$78</f>
        <v>0.5773502691896257</v>
      </c>
      <c r="BN80" s="103">
        <f t="shared" si="19"/>
        <v>1.4142135623730951</v>
      </c>
      <c r="BO80" s="103"/>
    </row>
    <row r="81" spans="6:67" ht="18.75">
      <c r="F81" s="34"/>
      <c r="G81" s="76" t="s">
        <v>174</v>
      </c>
      <c r="H81" s="35"/>
      <c r="I81" s="36"/>
      <c r="O81" s="2"/>
      <c r="P81" s="2"/>
      <c r="Q81" s="2"/>
      <c r="R81" s="2"/>
      <c r="V81" s="103"/>
      <c r="W81" s="103"/>
      <c r="X81" s="103"/>
      <c r="Y81" s="103"/>
      <c r="Z81" s="103"/>
      <c r="AA81" s="102"/>
      <c r="AB81" s="102"/>
      <c r="AC81" s="102"/>
      <c r="AD81" s="102"/>
      <c r="AE81" s="103"/>
      <c r="AF81" s="103"/>
      <c r="AG81" s="103"/>
      <c r="AH81" s="103"/>
      <c r="AI81" s="140"/>
      <c r="AJ81" s="142"/>
      <c r="AK81" s="142"/>
      <c r="AL81" s="103"/>
      <c r="AM81" s="103"/>
      <c r="AN81" s="150" t="str">
        <f>IF(LEFT($G$15)="Y","SUM of C5 about RIDGE","TOTAL DECK ANGLE")</f>
        <v>TOTAL DECK ANGLE</v>
      </c>
      <c r="AO81" s="14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 t="s">
        <v>90</v>
      </c>
      <c r="BK81" s="103">
        <f>ACOS($BM$81)</f>
        <v>1.0471975511965979</v>
      </c>
      <c r="BL81" s="103">
        <f t="shared" si="18"/>
        <v>0.8660254037844387</v>
      </c>
      <c r="BM81" s="103">
        <f>$BL$75*$BM$73</f>
        <v>0.4999999999999999</v>
      </c>
      <c r="BN81" s="103">
        <f t="shared" si="19"/>
        <v>1.7320508075688776</v>
      </c>
      <c r="BO81" s="103"/>
    </row>
    <row r="82" spans="15:67" ht="12.75">
      <c r="O82" s="2"/>
      <c r="P82" s="2"/>
      <c r="Q82" s="2"/>
      <c r="R82" s="2"/>
      <c r="V82" s="103"/>
      <c r="W82" s="103"/>
      <c r="X82" s="103"/>
      <c r="Y82" s="103"/>
      <c r="Z82" s="103"/>
      <c r="AA82" s="102"/>
      <c r="AB82" s="102"/>
      <c r="AC82" s="102"/>
      <c r="AD82" s="102"/>
      <c r="AE82" s="103"/>
      <c r="AF82" s="103"/>
      <c r="AG82" s="103"/>
      <c r="AH82" s="103"/>
      <c r="AI82" s="140"/>
      <c r="AJ82" s="142"/>
      <c r="AK82" s="142"/>
      <c r="AL82" s="103"/>
      <c r="AM82" s="103"/>
      <c r="AN82" s="151" t="str">
        <f>IF(LEFT($AJ$77)="T","ENTER N when DD or D &gt; 90","COMPOUND JOINT ? Y / N")</f>
        <v>COMPOUND JOINT ? Y / N</v>
      </c>
      <c r="AO82" s="14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 t="s">
        <v>89</v>
      </c>
      <c r="BK82" s="103">
        <f>ACOS($BM$82)</f>
        <v>1.0471975511965979</v>
      </c>
      <c r="BL82" s="103">
        <f t="shared" si="18"/>
        <v>0.8660254037844387</v>
      </c>
      <c r="BM82" s="103">
        <f>$BL$76*$BM$74</f>
        <v>0.4999999999999999</v>
      </c>
      <c r="BN82" s="103">
        <f t="shared" si="19"/>
        <v>1.7320508075688776</v>
      </c>
      <c r="BO82" s="103"/>
    </row>
    <row r="83" spans="2:67" ht="15.75">
      <c r="B83" s="68" t="s">
        <v>172</v>
      </c>
      <c r="D83" s="2"/>
      <c r="E83" s="2"/>
      <c r="F83" s="2"/>
      <c r="G83" s="2"/>
      <c r="H83" s="70" t="s">
        <v>175</v>
      </c>
      <c r="L83" s="2"/>
      <c r="N83" s="2"/>
      <c r="O83" s="2"/>
      <c r="P83" s="2"/>
      <c r="Q83" s="2"/>
      <c r="R83" s="2"/>
      <c r="V83" s="103"/>
      <c r="W83" s="103"/>
      <c r="X83" s="103"/>
      <c r="Y83" s="103"/>
      <c r="Z83" s="103"/>
      <c r="AA83" s="102"/>
      <c r="AB83" s="102"/>
      <c r="AC83" s="102"/>
      <c r="AD83" s="102"/>
      <c r="AE83" s="103"/>
      <c r="AF83" s="103"/>
      <c r="AG83" s="103"/>
      <c r="AH83" s="103"/>
      <c r="AI83" s="140"/>
      <c r="AJ83" s="142"/>
      <c r="AK83" s="142"/>
      <c r="AL83" s="103"/>
      <c r="AM83" s="103"/>
      <c r="AN83" s="150" t="str">
        <f>IF(LEFT($G$15)="Y","SIDE 1 ANGLE: SUM of (90-P2) / 2","MAIN PITCH ANGLE")</f>
        <v>MAIN PITCH ANGLE</v>
      </c>
      <c r="AO83" s="14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 t="s">
        <v>114</v>
      </c>
      <c r="BK83" s="103">
        <f>ACOS($BM$83)</f>
        <v>1.1502619915109316</v>
      </c>
      <c r="BL83" s="103">
        <f t="shared" si="18"/>
        <v>0.9128709291752769</v>
      </c>
      <c r="BM83" s="103">
        <f>$BL$77*$BL$73</f>
        <v>0.40824829046386296</v>
      </c>
      <c r="BN83" s="103">
        <f t="shared" si="19"/>
        <v>2.2360679774997902</v>
      </c>
      <c r="BO83" s="103"/>
    </row>
    <row r="84" spans="2:67" ht="15.75">
      <c r="B84" s="68" t="s">
        <v>216</v>
      </c>
      <c r="D84" s="2"/>
      <c r="E84" s="2"/>
      <c r="F84" s="2"/>
      <c r="G84" s="2"/>
      <c r="H84" s="68" t="s">
        <v>170</v>
      </c>
      <c r="L84" s="2"/>
      <c r="N84" s="2"/>
      <c r="O84" s="2"/>
      <c r="P84" s="2"/>
      <c r="Q84" s="2"/>
      <c r="R84" s="2"/>
      <c r="V84" s="103"/>
      <c r="W84" s="103"/>
      <c r="X84" s="103"/>
      <c r="Y84" s="103"/>
      <c r="Z84" s="103"/>
      <c r="AA84" s="102"/>
      <c r="AB84" s="102"/>
      <c r="AC84" s="102"/>
      <c r="AD84" s="102"/>
      <c r="AE84" s="103"/>
      <c r="AF84" s="103"/>
      <c r="AG84" s="103"/>
      <c r="AH84" s="103"/>
      <c r="AI84" s="140"/>
      <c r="AJ84" s="103"/>
      <c r="AK84" s="142"/>
      <c r="AL84" s="103"/>
      <c r="AM84" s="103"/>
      <c r="AN84" s="150" t="str">
        <f>IF(LEFT($G$15)="Y","SIDE 2 ANGLE: SUM of (90-P2) / 2","ADJACENT PITCH ANGLE")</f>
        <v>ADJACENT PITCH ANGLE</v>
      </c>
      <c r="AO84" s="14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 t="s">
        <v>113</v>
      </c>
      <c r="BK84" s="103">
        <f>ACOS($BM$84)</f>
        <v>1.1502619915109316</v>
      </c>
      <c r="BL84" s="103">
        <f t="shared" si="18"/>
        <v>0.9128709291752769</v>
      </c>
      <c r="BM84" s="103">
        <f>$BL$78*$BL$74</f>
        <v>0.40824829046386296</v>
      </c>
      <c r="BN84" s="103">
        <f t="shared" si="19"/>
        <v>2.2360679774997902</v>
      </c>
      <c r="BO84" s="103"/>
    </row>
    <row r="85" spans="2:67" ht="15.75">
      <c r="B85" s="69" t="s">
        <v>214</v>
      </c>
      <c r="D85" s="2"/>
      <c r="E85" s="2"/>
      <c r="F85" s="2"/>
      <c r="G85" s="2"/>
      <c r="H85" s="68" t="s">
        <v>219</v>
      </c>
      <c r="L85" s="2"/>
      <c r="N85" s="2"/>
      <c r="O85" s="2"/>
      <c r="P85" s="2"/>
      <c r="Q85" s="2"/>
      <c r="R85" s="2"/>
      <c r="V85" s="103"/>
      <c r="W85" s="103"/>
      <c r="X85" s="103"/>
      <c r="Y85" s="103"/>
      <c r="Z85" s="103"/>
      <c r="AA85" s="102"/>
      <c r="AB85" s="102"/>
      <c r="AC85" s="102"/>
      <c r="AD85" s="102"/>
      <c r="AE85" s="103"/>
      <c r="AF85" s="103"/>
      <c r="AG85" s="103"/>
      <c r="AH85" s="103"/>
      <c r="AI85" s="140"/>
      <c r="AJ85" s="103"/>
      <c r="AK85" s="152" t="str">
        <f>IF(LEFT($AK$52)="T","REFER TO ALTERNATE ANGLE VALUES",IF(LEFT($G$15)="Y","COMPOUND JOINT VALUES","COMMON RAFTER meets HIP / VALLEY"))</f>
        <v>COMMON RAFTER meets HIP / VALLEY</v>
      </c>
      <c r="AL85" s="142"/>
      <c r="AM85" s="142"/>
      <c r="AN85" s="142"/>
      <c r="AO85" s="14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 t="s">
        <v>118</v>
      </c>
      <c r="BK85" s="103">
        <f>ACOS($BM$85)</f>
        <v>0.46364760900080615</v>
      </c>
      <c r="BL85" s="103">
        <f t="shared" si="18"/>
        <v>0.447213595499958</v>
      </c>
      <c r="BM85" s="103">
        <f>$BM$77/$BL$83</f>
        <v>0.8944271909999159</v>
      </c>
      <c r="BN85" s="103">
        <f t="shared" si="19"/>
        <v>0.5</v>
      </c>
      <c r="BO85" s="103"/>
    </row>
    <row r="86" spans="2:67" ht="15.75">
      <c r="B86" s="69" t="s">
        <v>173</v>
      </c>
      <c r="D86" s="2"/>
      <c r="E86" s="2"/>
      <c r="F86" s="2"/>
      <c r="G86" s="2"/>
      <c r="H86" s="69" t="s">
        <v>220</v>
      </c>
      <c r="L86" s="2"/>
      <c r="N86" s="2"/>
      <c r="O86" s="2"/>
      <c r="P86" s="2"/>
      <c r="Q86" s="2"/>
      <c r="R86" s="2"/>
      <c r="V86" s="103"/>
      <c r="W86" s="103"/>
      <c r="X86" s="103"/>
      <c r="Y86" s="103"/>
      <c r="Z86" s="103"/>
      <c r="AA86" s="102"/>
      <c r="AB86" s="102"/>
      <c r="AC86" s="102"/>
      <c r="AD86" s="102"/>
      <c r="AE86" s="103"/>
      <c r="AF86" s="103"/>
      <c r="AG86" s="103"/>
      <c r="AH86" s="103"/>
      <c r="AI86" s="140"/>
      <c r="AJ86" s="103"/>
      <c r="AK86" s="153" t="str">
        <f>IF(LEFT($G$15)="Y","N / A","PURLIN meets HIP / VALLEY")</f>
        <v>PURLIN meets HIP / VALLEY</v>
      </c>
      <c r="AL86" s="142"/>
      <c r="AM86" s="142"/>
      <c r="AN86" s="142"/>
      <c r="AO86" s="14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 t="s">
        <v>115</v>
      </c>
      <c r="BK86" s="103">
        <f>ACOS($BM$86)</f>
        <v>0.46364760900080615</v>
      </c>
      <c r="BL86" s="103">
        <f t="shared" si="18"/>
        <v>0.447213595499958</v>
      </c>
      <c r="BM86" s="103">
        <f>$BM$78/$BL$84</f>
        <v>0.8944271909999159</v>
      </c>
      <c r="BN86" s="103">
        <f t="shared" si="19"/>
        <v>0.5</v>
      </c>
      <c r="BO86" s="103"/>
    </row>
    <row r="87" spans="2:67" ht="15.75">
      <c r="B87" s="69" t="s">
        <v>189</v>
      </c>
      <c r="D87" s="2"/>
      <c r="E87" s="2"/>
      <c r="F87" s="2"/>
      <c r="G87" s="2"/>
      <c r="H87" s="69" t="s">
        <v>221</v>
      </c>
      <c r="L87" s="2"/>
      <c r="M87" s="2"/>
      <c r="N87" s="2"/>
      <c r="O87" s="2"/>
      <c r="P87" s="2"/>
      <c r="Q87" s="2"/>
      <c r="R87" s="2"/>
      <c r="V87" s="103"/>
      <c r="W87" s="103"/>
      <c r="X87" s="103"/>
      <c r="Y87" s="103"/>
      <c r="Z87" s="103"/>
      <c r="AA87" s="102"/>
      <c r="AB87" s="102"/>
      <c r="AC87" s="102"/>
      <c r="AD87" s="102"/>
      <c r="AE87" s="103"/>
      <c r="AF87" s="103"/>
      <c r="AG87" s="103"/>
      <c r="AH87" s="103"/>
      <c r="AI87" s="140"/>
      <c r="AJ87" s="103"/>
      <c r="AK87" s="153" t="str">
        <f>IF(LEFT($AK$52)="T","REFER TO ALTERNATE ANGLE VALUES",IF(LEFT($G$15)="Y","N / A","HIP / VALLEY"))</f>
        <v>HIP / VALLEY</v>
      </c>
      <c r="AL87" s="142"/>
      <c r="AM87" s="142"/>
      <c r="AN87" s="142"/>
      <c r="AO87" s="14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 t="s">
        <v>116</v>
      </c>
      <c r="BK87" s="103">
        <f>ACOS($BM$87)</f>
        <v>0.684719203002283</v>
      </c>
      <c r="BL87" s="103">
        <f t="shared" si="18"/>
        <v>0.6324555320336759</v>
      </c>
      <c r="BM87" s="103">
        <f>$BM$73/$BL$83</f>
        <v>0.7745966692414833</v>
      </c>
      <c r="BN87" s="103">
        <f t="shared" si="19"/>
        <v>0.8164965809277261</v>
      </c>
      <c r="BO87" s="103"/>
    </row>
    <row r="88" spans="2:67" ht="15.75">
      <c r="B88" s="69" t="s">
        <v>188</v>
      </c>
      <c r="C88" s="2"/>
      <c r="D88" s="2"/>
      <c r="E88" s="2"/>
      <c r="F88" s="2"/>
      <c r="G88" s="2"/>
      <c r="H88" s="72" t="s">
        <v>215</v>
      </c>
      <c r="I88" s="2"/>
      <c r="J88" s="2"/>
      <c r="K88" s="2"/>
      <c r="L88" s="2"/>
      <c r="M88" s="2"/>
      <c r="N88" s="2"/>
      <c r="O88" s="2"/>
      <c r="P88" s="2"/>
      <c r="Q88" s="2"/>
      <c r="R88" s="2"/>
      <c r="V88" s="103"/>
      <c r="W88" s="103"/>
      <c r="X88" s="103"/>
      <c r="Y88" s="103"/>
      <c r="Z88" s="103"/>
      <c r="AA88" s="102"/>
      <c r="AB88" s="102"/>
      <c r="AC88" s="102"/>
      <c r="AD88" s="102"/>
      <c r="AE88" s="103"/>
      <c r="AF88" s="103"/>
      <c r="AG88" s="103"/>
      <c r="AH88" s="103"/>
      <c r="AI88" s="140"/>
      <c r="AJ88" s="103"/>
      <c r="AK88" s="153" t="str">
        <f>IF(LEFT($G$15)="Y","N / A","HIP / VALLEY meets COMMON RAFTER")</f>
        <v>HIP / VALLEY meets COMMON RAFTER</v>
      </c>
      <c r="AL88" s="142"/>
      <c r="AM88" s="142"/>
      <c r="AN88" s="142"/>
      <c r="AO88" s="14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 t="s">
        <v>117</v>
      </c>
      <c r="BK88" s="103">
        <f>ACOS($BM$88)</f>
        <v>0.684719203002283</v>
      </c>
      <c r="BL88" s="103">
        <f t="shared" si="18"/>
        <v>0.6324555320336759</v>
      </c>
      <c r="BM88" s="103">
        <f>$BM$74/$BL$84</f>
        <v>0.7745966692414833</v>
      </c>
      <c r="BN88" s="103">
        <f t="shared" si="19"/>
        <v>0.8164965809277261</v>
      </c>
      <c r="BO88" s="103"/>
    </row>
    <row r="89" spans="2:67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V89" s="103"/>
      <c r="W89" s="103"/>
      <c r="X89" s="103"/>
      <c r="Y89" s="103"/>
      <c r="Z89" s="103"/>
      <c r="AA89" s="102"/>
      <c r="AB89" s="102"/>
      <c r="AC89" s="102"/>
      <c r="AD89" s="102"/>
      <c r="AE89" s="103"/>
      <c r="AF89" s="103"/>
      <c r="AG89" s="103"/>
      <c r="AH89" s="103"/>
      <c r="AI89" s="154"/>
      <c r="AJ89" s="155" t="str">
        <f>IF(LEFT($AJ$77)="t","ENSURE COMPOUND JOINT ? IS SET AT N"," ")</f>
        <v> </v>
      </c>
      <c r="AK89" s="153" t="str">
        <f>IF(LEFT($G$15)="Y","N / A","HIP / VALLEY meets PURLIN")</f>
        <v>HIP / VALLEY meets PURLIN</v>
      </c>
      <c r="AL89" s="156"/>
      <c r="AM89" s="156"/>
      <c r="AN89" s="156"/>
      <c r="AO89" s="157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</row>
    <row r="90" spans="2:6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V90" s="103"/>
      <c r="W90" s="103"/>
      <c r="X90" s="103"/>
      <c r="Y90" s="103"/>
      <c r="Z90" s="103"/>
      <c r="AA90" s="102"/>
      <c r="AB90" s="102"/>
      <c r="AC90" s="102"/>
      <c r="AD90" s="102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</row>
    <row r="91" spans="2:6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V91" s="103"/>
      <c r="W91" s="103"/>
      <c r="X91" s="103"/>
      <c r="Y91" s="103"/>
      <c r="Z91" s="103"/>
      <c r="AA91" s="102"/>
      <c r="AB91" s="102"/>
      <c r="AC91" s="102"/>
      <c r="AD91" s="102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</row>
    <row r="92" spans="2:6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</row>
    <row r="93" spans="2:6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</row>
    <row r="94" spans="2:6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</row>
    <row r="95" spans="2:6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02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</row>
    <row r="96" spans="2:6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02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</row>
    <row r="97" spans="2:6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02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</row>
    <row r="98" spans="2:6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02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</row>
    <row r="99" spans="2:6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02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</row>
    <row r="100" spans="2:6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02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</row>
    <row r="101" spans="2:6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02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</row>
    <row r="102" spans="2:4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</row>
    <row r="103" spans="2:4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R103" s="2"/>
      <c r="S103" s="2"/>
      <c r="T103" s="2"/>
      <c r="U103" s="2"/>
      <c r="V103" s="2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</row>
    <row r="104" spans="2:4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R104" s="2"/>
      <c r="S104" s="2"/>
      <c r="T104" s="2"/>
      <c r="U104" s="2"/>
      <c r="V104" s="2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</row>
    <row r="105" spans="2:47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R105" s="2"/>
      <c r="S105" s="2"/>
      <c r="T105" s="2"/>
      <c r="U105" s="2"/>
      <c r="V105" s="2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</row>
    <row r="106" spans="2:47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R106" s="2"/>
      <c r="S106" s="2"/>
      <c r="T106" s="2"/>
      <c r="U106" s="2"/>
      <c r="V106" s="2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</row>
    <row r="107" spans="2:47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R107" s="2"/>
      <c r="S107" s="2"/>
      <c r="T107" s="2"/>
      <c r="U107" s="2"/>
      <c r="V107" s="2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</row>
    <row r="108" spans="2:47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R108" s="2"/>
      <c r="S108" s="2"/>
      <c r="T108" s="2"/>
      <c r="U108" s="2"/>
      <c r="V108" s="2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</row>
    <row r="109" spans="2:47" ht="12.75">
      <c r="B109" s="2"/>
      <c r="C109" s="2"/>
      <c r="D109" s="2"/>
      <c r="E109" s="2"/>
      <c r="F109" s="2"/>
      <c r="H109" s="2"/>
      <c r="I109" s="2"/>
      <c r="J109" s="2"/>
      <c r="K109" s="2"/>
      <c r="L109" s="2"/>
      <c r="M109" s="2"/>
      <c r="N109" s="2"/>
      <c r="O109" s="2"/>
      <c r="P109" s="2"/>
      <c r="R109" s="2"/>
      <c r="S109" s="2"/>
      <c r="T109" s="2"/>
      <c r="U109" s="2"/>
      <c r="V109" s="2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</row>
    <row r="110" spans="2:47" ht="12.75">
      <c r="B110" s="2"/>
      <c r="C110" s="2"/>
      <c r="D110" s="2"/>
      <c r="E110" s="2"/>
      <c r="I110" s="2"/>
      <c r="J110" s="2"/>
      <c r="K110" s="2"/>
      <c r="L110" s="2"/>
      <c r="M110" s="2"/>
      <c r="N110" s="2"/>
      <c r="O110" s="2"/>
      <c r="P110" s="2"/>
      <c r="R110" s="2"/>
      <c r="S110" s="2"/>
      <c r="T110" s="2"/>
      <c r="U110" s="2"/>
      <c r="V110" s="2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</row>
    <row r="111" spans="5:47" ht="12.75">
      <c r="E111" s="2"/>
      <c r="G111" s="2"/>
      <c r="J111" s="67"/>
      <c r="K111" s="2"/>
      <c r="L111" s="2"/>
      <c r="M111" s="2"/>
      <c r="N111" s="2"/>
      <c r="O111" s="2"/>
      <c r="P111" s="2"/>
      <c r="R111" s="2"/>
      <c r="S111" s="2"/>
      <c r="T111" s="2"/>
      <c r="U111" s="2"/>
      <c r="V111" s="2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</row>
    <row r="112" spans="5:47" ht="15.75">
      <c r="E112" s="2"/>
      <c r="F112" s="68" t="s">
        <v>211</v>
      </c>
      <c r="G112" s="2"/>
      <c r="K112" s="2"/>
      <c r="L112" s="2"/>
      <c r="M112" s="2"/>
      <c r="N112" s="2"/>
      <c r="O112" s="2"/>
      <c r="P112" s="2"/>
      <c r="R112" s="2"/>
      <c r="S112" s="2"/>
      <c r="T112" s="2"/>
      <c r="U112" s="2"/>
      <c r="V112" s="2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</row>
    <row r="113" spans="2:47" ht="15.75">
      <c r="B113" s="69" t="s">
        <v>181</v>
      </c>
      <c r="E113" s="2"/>
      <c r="F113" s="2"/>
      <c r="H113" s="69" t="s">
        <v>182</v>
      </c>
      <c r="N113" s="2"/>
      <c r="O113" s="2"/>
      <c r="P113" s="2"/>
      <c r="R113" s="2"/>
      <c r="S113" s="2"/>
      <c r="T113" s="2"/>
      <c r="U113" s="2"/>
      <c r="V113" s="2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</row>
    <row r="114" spans="2:47" ht="15.75">
      <c r="B114" s="69" t="s">
        <v>176</v>
      </c>
      <c r="E114" s="2"/>
      <c r="F114" s="2"/>
      <c r="H114" s="69" t="s">
        <v>183</v>
      </c>
      <c r="N114" s="2"/>
      <c r="O114" s="2"/>
      <c r="P114" s="2"/>
      <c r="R114" s="2"/>
      <c r="S114" s="2"/>
      <c r="T114" s="2"/>
      <c r="U114" s="2"/>
      <c r="V114" s="2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</row>
    <row r="115" spans="2:47" ht="15.75">
      <c r="B115" s="69" t="s">
        <v>217</v>
      </c>
      <c r="E115" s="2"/>
      <c r="F115" s="2"/>
      <c r="H115" s="71" t="s">
        <v>212</v>
      </c>
      <c r="L115" s="68" t="s">
        <v>171</v>
      </c>
      <c r="O115" s="2"/>
      <c r="P115" s="2"/>
      <c r="R115" s="2"/>
      <c r="S115" s="2"/>
      <c r="T115" s="2"/>
      <c r="U115" s="2"/>
      <c r="V115" s="2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</row>
    <row r="116" spans="2:47" ht="15.75">
      <c r="B116" s="69" t="s">
        <v>210</v>
      </c>
      <c r="E116" s="2"/>
      <c r="F116" s="2"/>
      <c r="H116" s="68" t="s">
        <v>184</v>
      </c>
      <c r="L116" s="68" t="s">
        <v>186</v>
      </c>
      <c r="O116" s="2"/>
      <c r="P116" s="2"/>
      <c r="R116" s="2"/>
      <c r="S116" s="2"/>
      <c r="T116" s="2"/>
      <c r="U116" s="2"/>
      <c r="V116" s="2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</row>
    <row r="117" spans="2:47" ht="15.75">
      <c r="B117" s="68" t="s">
        <v>177</v>
      </c>
      <c r="E117" s="2"/>
      <c r="F117" s="2"/>
      <c r="H117" s="68" t="s">
        <v>185</v>
      </c>
      <c r="K117" s="2"/>
      <c r="L117" s="68" t="s">
        <v>185</v>
      </c>
      <c r="O117" s="2"/>
      <c r="P117" s="2"/>
      <c r="R117" s="2"/>
      <c r="S117" s="2"/>
      <c r="T117" s="2"/>
      <c r="U117" s="2"/>
      <c r="V117" s="2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</row>
    <row r="118" spans="2:47" ht="15.75">
      <c r="B118" s="68" t="s">
        <v>213</v>
      </c>
      <c r="E118" s="2"/>
      <c r="F118" s="2"/>
      <c r="G118" s="2"/>
      <c r="H118" s="69" t="s">
        <v>179</v>
      </c>
      <c r="K118" s="2"/>
      <c r="L118" s="69" t="s">
        <v>180</v>
      </c>
      <c r="O118" s="2"/>
      <c r="P118" s="2"/>
      <c r="R118" s="2"/>
      <c r="S118" s="2"/>
      <c r="T118" s="2"/>
      <c r="U118" s="2"/>
      <c r="V118" s="2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</row>
    <row r="119" spans="2:47" ht="15.75">
      <c r="B119" s="68" t="s">
        <v>178</v>
      </c>
      <c r="C119" s="2"/>
      <c r="D119" s="2"/>
      <c r="E119" s="2"/>
      <c r="F119" s="2"/>
      <c r="G119" s="2"/>
      <c r="H119" s="72" t="s">
        <v>187</v>
      </c>
      <c r="K119" s="2"/>
      <c r="L119" s="2"/>
      <c r="M119" s="2"/>
      <c r="O119" s="2"/>
      <c r="P119" s="2"/>
      <c r="R119" s="2"/>
      <c r="S119" s="2"/>
      <c r="T119" s="2"/>
      <c r="U119" s="2"/>
      <c r="V119" s="2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</row>
    <row r="120" spans="2:47" ht="12.75">
      <c r="B120" s="2"/>
      <c r="C120" s="2"/>
      <c r="D120" s="2"/>
      <c r="E120" s="2"/>
      <c r="F120" s="2"/>
      <c r="G120" s="2"/>
      <c r="H120" s="2"/>
      <c r="I120" s="2"/>
      <c r="K120" s="2"/>
      <c r="L120" s="2"/>
      <c r="M120" s="2"/>
      <c r="N120" s="2"/>
      <c r="O120" s="2"/>
      <c r="P120" s="2"/>
      <c r="R120" s="2"/>
      <c r="S120" s="2"/>
      <c r="T120" s="2"/>
      <c r="U120" s="2"/>
      <c r="V120" s="2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</row>
    <row r="121" spans="2:47" ht="12.75">
      <c r="B121" s="2"/>
      <c r="C121" s="2"/>
      <c r="D121" s="2"/>
      <c r="E121" s="2"/>
      <c r="F121" s="2"/>
      <c r="G121" s="2"/>
      <c r="H121" s="2"/>
      <c r="I121" s="2"/>
      <c r="K121" s="2"/>
      <c r="L121" s="2"/>
      <c r="M121" s="2"/>
      <c r="N121" s="2"/>
      <c r="O121" s="2"/>
      <c r="P121" s="2"/>
      <c r="R121" s="2"/>
      <c r="S121" s="2"/>
      <c r="T121" s="2"/>
      <c r="U121" s="2"/>
      <c r="V121" s="2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</row>
    <row r="122" spans="2:47" ht="12.75">
      <c r="B122" s="2"/>
      <c r="C122" s="2"/>
      <c r="D122" s="2"/>
      <c r="E122" s="2"/>
      <c r="F122" s="2"/>
      <c r="G122" s="2"/>
      <c r="H122" s="2"/>
      <c r="I122" s="2"/>
      <c r="K122" s="2"/>
      <c r="L122" s="2"/>
      <c r="M122" s="2"/>
      <c r="N122" s="2"/>
      <c r="O122" s="2"/>
      <c r="P122" s="2"/>
      <c r="R122" s="2"/>
      <c r="S122" s="2"/>
      <c r="T122" s="2"/>
      <c r="U122" s="2"/>
      <c r="V122" s="2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</row>
    <row r="123" spans="2:47" ht="12.75">
      <c r="B123" s="2"/>
      <c r="C123" s="2"/>
      <c r="D123" s="2"/>
      <c r="E123" s="2"/>
      <c r="F123" s="2"/>
      <c r="G123" s="2"/>
      <c r="H123" s="2"/>
      <c r="I123" s="2"/>
      <c r="K123" s="2"/>
      <c r="L123" s="2"/>
      <c r="M123" s="2"/>
      <c r="N123" s="2"/>
      <c r="O123" s="2"/>
      <c r="P123" s="2"/>
      <c r="R123" s="2"/>
      <c r="S123" s="2"/>
      <c r="T123" s="2"/>
      <c r="U123" s="2"/>
      <c r="V123" s="2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</row>
    <row r="124" spans="2:47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R124" s="2"/>
      <c r="S124" s="2"/>
      <c r="T124" s="2"/>
      <c r="U124" s="2"/>
      <c r="V124" s="2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</row>
    <row r="125" spans="2:47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R125" s="2"/>
      <c r="S125" s="2"/>
      <c r="T125" s="2"/>
      <c r="U125" s="2"/>
      <c r="V125" s="2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</row>
    <row r="126" spans="2:47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R126" s="2"/>
      <c r="S126" s="2"/>
      <c r="T126" s="2"/>
      <c r="U126" s="2"/>
      <c r="V126" s="2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</row>
    <row r="127" spans="2:47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</row>
    <row r="128" spans="2:47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</row>
    <row r="129" spans="2:47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</row>
    <row r="130" spans="2:47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</row>
    <row r="131" spans="2:47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</row>
    <row r="132" spans="2:47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</row>
    <row r="133" spans="2:47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</row>
    <row r="134" spans="2:47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</row>
    <row r="135" spans="2:47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</row>
    <row r="136" spans="2:4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</row>
    <row r="137" spans="2:47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</row>
    <row r="138" spans="2:47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</row>
    <row r="139" spans="2:47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</row>
    <row r="140" spans="3:47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</row>
    <row r="141" spans="3:47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</row>
    <row r="142" spans="2:47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</row>
    <row r="143" spans="2:47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</row>
    <row r="144" spans="2:47" ht="12.75"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1"/>
      <c r="N144" s="2"/>
      <c r="O144" s="2"/>
      <c r="P144" s="2"/>
      <c r="Q144" s="2"/>
      <c r="R144" s="2"/>
      <c r="S144" s="2"/>
      <c r="T144" s="2"/>
      <c r="U144" s="2"/>
      <c r="V144" s="2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</row>
    <row r="145" spans="2:47" ht="18.75">
      <c r="B145" s="32"/>
      <c r="C145" s="2"/>
      <c r="D145" s="2"/>
      <c r="E145" s="2"/>
      <c r="F145" s="92"/>
      <c r="G145" s="76" t="s">
        <v>227</v>
      </c>
      <c r="H145" s="93"/>
      <c r="I145" s="93"/>
      <c r="J145" s="94"/>
      <c r="K145" s="2"/>
      <c r="L145" s="2"/>
      <c r="M145" s="13"/>
      <c r="N145" s="2"/>
      <c r="O145" s="2"/>
      <c r="P145" s="2"/>
      <c r="Q145" s="2"/>
      <c r="R145" s="2"/>
      <c r="S145" s="2"/>
      <c r="T145" s="2"/>
      <c r="U145" s="2"/>
      <c r="V145" s="2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</row>
    <row r="146" spans="2:47" ht="12.75">
      <c r="B146" s="32"/>
      <c r="C146" s="2"/>
      <c r="D146" s="2"/>
      <c r="E146" s="77"/>
      <c r="F146" s="78"/>
      <c r="G146" s="77"/>
      <c r="H146" s="77"/>
      <c r="I146" s="77"/>
      <c r="J146" s="2"/>
      <c r="K146" s="2"/>
      <c r="L146" s="2"/>
      <c r="M146" s="13"/>
      <c r="N146" s="2"/>
      <c r="O146" s="2"/>
      <c r="P146" s="2"/>
      <c r="Q146" s="2"/>
      <c r="R146" s="2"/>
      <c r="S146" s="2"/>
      <c r="T146" s="2"/>
      <c r="U146" s="2"/>
      <c r="V146" s="2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</row>
    <row r="147" spans="2:22" ht="15.75">
      <c r="B147" s="32"/>
      <c r="C147" s="2"/>
      <c r="D147" s="2"/>
      <c r="E147" s="72" t="s">
        <v>236</v>
      </c>
      <c r="F147" s="2"/>
      <c r="G147" s="2"/>
      <c r="H147" s="2"/>
      <c r="I147" s="2"/>
      <c r="J147" s="2"/>
      <c r="K147" s="2"/>
      <c r="L147" s="2"/>
      <c r="M147" s="13"/>
      <c r="N147" s="2"/>
      <c r="O147" s="2"/>
      <c r="P147" s="2"/>
      <c r="Q147" s="2"/>
      <c r="R147" s="2"/>
      <c r="S147" s="2"/>
      <c r="T147" s="2"/>
      <c r="U147" s="2"/>
      <c r="V147" s="2"/>
    </row>
    <row r="148" spans="2:22" ht="15.75">
      <c r="B148" s="32"/>
      <c r="C148" s="70"/>
      <c r="D148" s="2"/>
      <c r="E148" s="72" t="s">
        <v>237</v>
      </c>
      <c r="F148" s="2"/>
      <c r="G148" s="2"/>
      <c r="H148" s="2"/>
      <c r="I148" s="2"/>
      <c r="J148" s="70"/>
      <c r="K148" s="2"/>
      <c r="L148" s="2"/>
      <c r="M148" s="13"/>
      <c r="N148" s="2"/>
      <c r="O148" s="2"/>
      <c r="P148" s="2"/>
      <c r="Q148" s="2"/>
      <c r="R148" s="2"/>
      <c r="S148" s="2"/>
      <c r="T148" s="2"/>
      <c r="U148" s="2"/>
      <c r="V148" s="2"/>
    </row>
    <row r="149" spans="2:22" ht="15.75">
      <c r="B149" s="32"/>
      <c r="C149" s="72"/>
      <c r="D149" s="2"/>
      <c r="E149" s="72" t="s">
        <v>238</v>
      </c>
      <c r="F149" s="2"/>
      <c r="G149" s="2"/>
      <c r="H149" s="2"/>
      <c r="I149" s="72"/>
      <c r="J149" s="2"/>
      <c r="K149" s="2"/>
      <c r="L149" s="2"/>
      <c r="M149" s="13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5.75">
      <c r="B150" s="32"/>
      <c r="C150" s="72"/>
      <c r="D150" s="2"/>
      <c r="E150" s="2"/>
      <c r="F150" s="97" t="s">
        <v>241</v>
      </c>
      <c r="G150" s="2"/>
      <c r="H150" s="2"/>
      <c r="I150" s="72"/>
      <c r="J150" s="2"/>
      <c r="K150" s="2"/>
      <c r="L150" s="2"/>
      <c r="M150" s="13"/>
      <c r="N150" s="2"/>
      <c r="O150" s="2"/>
      <c r="P150" s="2"/>
      <c r="Q150" s="2"/>
      <c r="R150" s="2"/>
      <c r="S150" s="2"/>
      <c r="T150" s="2"/>
      <c r="U150" s="2"/>
      <c r="V150" s="2"/>
    </row>
    <row r="151" spans="2:22" ht="15.75">
      <c r="B151" s="32"/>
      <c r="C151" s="2"/>
      <c r="D151" s="2"/>
      <c r="F151" s="70" t="s">
        <v>241</v>
      </c>
      <c r="G151" s="2"/>
      <c r="H151" s="2"/>
      <c r="I151" s="2"/>
      <c r="J151" s="2"/>
      <c r="K151" s="2"/>
      <c r="L151" s="72"/>
      <c r="M151" s="13"/>
      <c r="N151" s="2"/>
      <c r="O151" s="2"/>
      <c r="P151" s="2"/>
      <c r="Q151" s="2"/>
      <c r="R151" s="2"/>
      <c r="S151" s="2"/>
      <c r="T151" s="2"/>
      <c r="U151" s="2"/>
      <c r="V151" s="2"/>
    </row>
    <row r="152" spans="2:22" ht="15.75">
      <c r="B152" s="32"/>
      <c r="C152" s="2"/>
      <c r="D152" s="2"/>
      <c r="F152" s="72" t="s">
        <v>229</v>
      </c>
      <c r="G152" s="2"/>
      <c r="H152" s="2"/>
      <c r="I152" s="2"/>
      <c r="J152" s="2"/>
      <c r="K152" s="2"/>
      <c r="L152" s="2"/>
      <c r="M152" s="13"/>
      <c r="N152" s="2"/>
      <c r="O152" s="2"/>
      <c r="P152" s="2"/>
      <c r="Q152" s="2"/>
      <c r="R152" s="2"/>
      <c r="S152" s="2"/>
      <c r="T152" s="2"/>
      <c r="U152" s="2"/>
      <c r="V152" s="2"/>
    </row>
    <row r="153" spans="2:22" ht="15.75">
      <c r="B153" s="32"/>
      <c r="C153" s="2"/>
      <c r="D153" s="2"/>
      <c r="F153" s="72" t="s">
        <v>230</v>
      </c>
      <c r="G153" s="2"/>
      <c r="H153" s="2"/>
      <c r="I153" s="2"/>
      <c r="J153" s="2"/>
      <c r="K153" s="2"/>
      <c r="L153" s="2"/>
      <c r="M153" s="13"/>
      <c r="N153" s="2"/>
      <c r="O153" s="2"/>
      <c r="P153" s="2"/>
      <c r="Q153" s="2"/>
      <c r="R153" s="2"/>
      <c r="S153" s="2"/>
      <c r="T153" s="2"/>
      <c r="U153" s="2"/>
      <c r="V153" s="2"/>
    </row>
    <row r="154" spans="2:22" ht="15.75">
      <c r="B154" s="32"/>
      <c r="C154" s="2"/>
      <c r="D154" s="2"/>
      <c r="F154" s="72" t="s">
        <v>228</v>
      </c>
      <c r="G154" s="2"/>
      <c r="H154" s="2"/>
      <c r="I154" s="2"/>
      <c r="J154" s="2"/>
      <c r="K154" s="2"/>
      <c r="L154" s="2"/>
      <c r="M154" s="13"/>
      <c r="N154" s="2"/>
      <c r="O154" s="2"/>
      <c r="P154" s="2"/>
      <c r="Q154" s="2"/>
      <c r="R154" s="2"/>
      <c r="S154" s="2"/>
      <c r="T154" s="2"/>
      <c r="U154" s="2"/>
      <c r="V154" s="2"/>
    </row>
    <row r="155" spans="2:22" ht="15.75">
      <c r="B155" s="32"/>
      <c r="C155" s="2"/>
      <c r="D155" s="2"/>
      <c r="E155" s="2"/>
      <c r="F155" s="97" t="s">
        <v>240</v>
      </c>
      <c r="G155" s="2"/>
      <c r="H155" s="2"/>
      <c r="I155" s="2"/>
      <c r="J155" s="2"/>
      <c r="K155" s="2"/>
      <c r="L155" s="2"/>
      <c r="M155" s="13"/>
      <c r="N155" s="2"/>
      <c r="O155" s="2"/>
      <c r="P155" s="2"/>
      <c r="Q155" s="2"/>
      <c r="R155" s="2"/>
      <c r="S155" s="2"/>
      <c r="T155" s="2"/>
      <c r="U155" s="2"/>
      <c r="V155" s="2"/>
    </row>
    <row r="156" spans="2:22" ht="15.75">
      <c r="B156" s="32"/>
      <c r="C156" s="72"/>
      <c r="D156" s="2"/>
      <c r="F156" s="70" t="s">
        <v>240</v>
      </c>
      <c r="G156" s="2"/>
      <c r="H156" s="2"/>
      <c r="I156" s="2"/>
      <c r="J156" s="2"/>
      <c r="K156" s="2"/>
      <c r="L156" s="2"/>
      <c r="M156" s="13"/>
      <c r="N156" s="2"/>
      <c r="O156" s="2"/>
      <c r="P156" s="2"/>
      <c r="Q156" s="2"/>
      <c r="R156" s="2"/>
      <c r="S156" s="2"/>
      <c r="T156" s="2"/>
      <c r="U156" s="2"/>
      <c r="V156" s="2"/>
    </row>
    <row r="157" spans="2:22" ht="15.75">
      <c r="B157" s="32"/>
      <c r="C157" s="72"/>
      <c r="D157" s="2"/>
      <c r="F157" s="72" t="s">
        <v>232</v>
      </c>
      <c r="G157" s="2"/>
      <c r="H157" s="2"/>
      <c r="I157" s="2"/>
      <c r="J157" s="2"/>
      <c r="K157" s="2"/>
      <c r="L157" s="2"/>
      <c r="M157" s="13"/>
      <c r="N157" s="2"/>
      <c r="O157" s="2"/>
      <c r="P157" s="2"/>
      <c r="Q157" s="2"/>
      <c r="R157" s="2"/>
      <c r="S157" s="2"/>
      <c r="T157" s="2"/>
      <c r="U157" s="2"/>
      <c r="V157" s="2"/>
    </row>
    <row r="158" spans="2:22" ht="15.75">
      <c r="B158" s="32"/>
      <c r="C158" s="72"/>
      <c r="D158" s="2"/>
      <c r="F158" s="72" t="s">
        <v>231</v>
      </c>
      <c r="G158" s="2"/>
      <c r="H158" s="2"/>
      <c r="I158" s="2"/>
      <c r="J158" s="2"/>
      <c r="K158" s="2"/>
      <c r="L158" s="2"/>
      <c r="M158" s="13"/>
      <c r="N158" s="2"/>
      <c r="O158" s="2"/>
      <c r="P158" s="2"/>
      <c r="Q158" s="2"/>
      <c r="R158" s="2"/>
      <c r="S158" s="2"/>
      <c r="T158" s="2"/>
      <c r="U158" s="2"/>
      <c r="V158" s="2"/>
    </row>
    <row r="159" spans="2:22" ht="15.75">
      <c r="B159" s="32"/>
      <c r="C159" s="2"/>
      <c r="D159" s="2"/>
      <c r="F159" s="72" t="s">
        <v>233</v>
      </c>
      <c r="G159" s="2"/>
      <c r="H159" s="2"/>
      <c r="I159" s="2"/>
      <c r="J159" s="2"/>
      <c r="K159" s="2"/>
      <c r="L159" s="2"/>
      <c r="M159" s="13"/>
      <c r="N159" s="2"/>
      <c r="O159" s="2"/>
      <c r="P159" s="2"/>
      <c r="Q159" s="2"/>
      <c r="R159" s="2"/>
      <c r="S159" s="2"/>
      <c r="T159" s="2"/>
      <c r="U159" s="2"/>
      <c r="V159" s="2"/>
    </row>
    <row r="160" spans="2:22" ht="15.75">
      <c r="B160" s="32"/>
      <c r="C160" s="2"/>
      <c r="D160" s="2"/>
      <c r="F160" s="72" t="s">
        <v>234</v>
      </c>
      <c r="G160" s="2"/>
      <c r="H160" s="2"/>
      <c r="I160" s="2"/>
      <c r="J160" s="2"/>
      <c r="K160" s="2"/>
      <c r="L160" s="2"/>
      <c r="M160" s="13"/>
      <c r="N160" s="2"/>
      <c r="O160" s="2"/>
      <c r="P160" s="2"/>
      <c r="Q160" s="2"/>
      <c r="R160" s="2"/>
      <c r="S160" s="2"/>
      <c r="T160" s="2"/>
      <c r="U160" s="2"/>
      <c r="V160" s="2"/>
    </row>
    <row r="161" spans="2:22" ht="15.75">
      <c r="B161" s="32"/>
      <c r="C161" s="2"/>
      <c r="D161" s="2"/>
      <c r="F161" s="72" t="s">
        <v>239</v>
      </c>
      <c r="G161" s="2"/>
      <c r="H161" s="2"/>
      <c r="I161" s="2"/>
      <c r="J161" s="2"/>
      <c r="K161" s="2"/>
      <c r="L161" s="2"/>
      <c r="M161" s="13"/>
      <c r="N161" s="2"/>
      <c r="O161" s="2"/>
      <c r="P161" s="2"/>
      <c r="Q161" s="2"/>
      <c r="R161" s="2"/>
      <c r="S161" s="2"/>
      <c r="T161" s="2"/>
      <c r="U161" s="2"/>
      <c r="V161" s="2"/>
    </row>
    <row r="162" spans="2:22" ht="12.75">
      <c r="B162" s="47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48"/>
      <c r="N162" s="2"/>
      <c r="O162" s="2"/>
      <c r="P162" s="2"/>
      <c r="Q162" s="2"/>
      <c r="R162" s="2"/>
      <c r="S162" s="2"/>
      <c r="T162" s="2"/>
      <c r="U162" s="2"/>
      <c r="V162" s="2"/>
    </row>
    <row r="163" spans="2:22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17" s="96" customFormat="1" ht="13.5" thickBo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22" ht="13.5" thickTop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3:2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2" ht="12.75">
      <c r="B169" s="179">
        <f>$AA$63</f>
        <v>38075.2511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2" ht="12.75">
      <c r="B170" s="180">
        <f>$AA$56</f>
        <v>-924.3151868055575</v>
      </c>
      <c r="D170" s="107" t="s">
        <v>262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2:2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2:2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2:2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2:2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2:2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2:2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2:2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2:2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2:2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2:2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2:2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2:2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2:2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2:22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2:22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2:22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2:22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2:22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2:22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2:22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2:22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2:22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2:22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2:22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2:22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2:22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2:22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2:22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2:22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2:22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2:22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2:22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2:22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2:22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2:22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2:22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2:22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2:22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2:22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2:22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2:22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2:22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2:22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2:22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2:22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2:22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2:22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2:22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2:22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2:22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2:22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2:22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2:22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2:22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2:22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2:22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2:22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2:22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2:22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2:22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2:22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2:22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2:22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2:22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2:22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2:22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2:22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2:22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2:22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2:22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2:22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2:22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2:22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2:22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2:22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2:22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2:22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2:22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2:22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2:22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2:22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2:22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2:22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2:22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2:22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2:22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2:22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2:22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2:22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2:22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2:22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2:22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2:22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2:22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2:22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2:22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2:22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2:22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2:22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2:22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2:22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2:22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2:22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2:22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2:22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2:22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2:22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2:22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2:22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2:22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2:22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2:22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2:22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2:22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2:22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2:22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2:22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2:22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2:22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2:22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2:22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2:22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2:22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2:22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2:22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2:22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2:22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2:22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2:22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2:22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2:22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2:22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2:22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2:22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2:22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2:22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2:22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2:22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2:22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2:22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2:22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2:22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2:22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2:22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2:22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2:22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2:22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2:22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2:22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2:22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2:22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2:22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2:22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2:22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2:22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2:22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2:22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2:22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2:22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2:22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2:22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2:22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2:22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2:22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2:22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2:22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2:22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2:22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2:22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2:22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2:22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2:22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2:22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2:22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2:22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2:22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2:22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2:22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2:22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2:22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2:22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2:22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2:22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2:22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2:22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2:22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2:22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2:22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2:22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2:22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2:22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2:22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2:22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2:22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2:22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2:22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2:22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2:22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2:22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2:22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2:22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2:22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2:22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2:22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2:22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2:22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2:22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2:22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2:22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2:22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2:22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2:22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2:22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2:22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2:22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2:22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2:22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2:22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2:22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2:22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2:22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2:22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2:22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2:22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2:22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2:22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2:22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2:22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2:22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2:22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2:22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2:22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2:22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2:22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2:22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2:22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2:22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2:22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2:22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2:22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2:22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2:22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2:22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2:22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2:22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2:22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2:22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2:22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2:22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2:22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2:22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2:22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2:22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2:22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2:22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2:22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2:22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2:22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2:22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2:22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2:22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2:22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2:22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2:22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2:22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2:22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2:22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2:22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2:22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2:22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2:22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2:22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2:22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2:22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2:22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2:22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2:22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2:22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2:22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2:22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2:22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2:22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2:22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2:22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2:22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2:22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2:22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2:22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2:22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2:22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2:22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2:22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2:22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2:22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2:22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2:22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2:22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2:22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2:22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2:22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2:22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2:22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2:22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2:22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2:22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2:22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2:22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2:22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2:22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2:22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2:22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2:22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2:22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2:22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2:22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2:22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2:22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2:22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2:22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2:22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2:22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2:22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2:22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2:22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2:22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2:22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2:22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2:22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2:22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2:22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2:22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2:22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2:22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2:22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2:22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2:22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2:22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2:22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2:22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2:22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2:22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2:22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2:22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2:22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2:22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2:22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2:22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2:22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2:22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2:22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2:22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2:22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2:22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2:22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2:22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2:22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2:22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2:22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2:22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2:22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2:22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2:22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2:22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2:22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2:22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2:22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2:22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2:22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2:22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2:22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2:22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2:22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2:22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2:22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2:22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2:22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2:22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2:22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2:22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2:22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2:22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2:22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2:22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2:22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2:22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2:22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2:22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2:22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2:22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2:22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2:22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2:22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2:22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2:22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2:22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2:22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2:22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2:22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2:22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2:22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2:22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2:22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2:22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2:22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2:22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2:22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2:22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2:22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2:22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2:22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2:22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2:22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2:22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2:22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2:22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2:22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2:22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2:22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2:22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2:22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2:22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2:22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2:22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2:22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2:22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2:22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2:22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2:22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2:22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2:22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2:22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2:22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2:22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2:22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2:22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2:22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2:22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2:22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2:22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2:22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2:22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2:22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2:22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2:22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2:22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2:22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2:22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2:22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2:22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2:22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2:22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2:22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2:22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2:22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2:22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2:22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2:22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2:22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2:22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2:22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2:22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2:22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2:22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2:22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2:22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2:22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2:22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2:22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2:22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2:22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2:22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2:22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2:22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2:22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2:22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2:22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2:22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2:22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2:22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2:22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2:22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2:22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2:22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2:22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2:22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2:22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2:22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2:22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2:22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2:22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2:22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2:22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2:22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2:22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2:22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2:22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2:22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2:22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2:22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2:22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2:22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2:22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2:22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2:22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2:22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2:22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2:22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2:22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2:22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2:22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2:22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2:22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2:22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2:22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2:22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2:22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2:22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2:22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2:22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2:22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2:22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2:22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2:22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2:22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2:22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2:22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2:22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2:22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2:22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2:22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2:22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2:22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2:22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2:22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2:22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2:22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2:22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2:22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2:22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2:22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2:22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2:22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2:22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2:22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2:22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2:22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2:22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2:22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2:22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2:22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2:22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2:22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2:22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2:22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2:22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2:22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2:22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2:22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2:22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2:22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2:22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2:22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2:22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2:22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2:22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2:22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2:22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2:22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2:22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2:22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2:22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2:22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2:22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2:22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2:22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2:22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2:22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2:22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2:22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2:22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2:22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2:22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2:22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2:22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2:22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2:22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2:22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2:22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2:22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2:22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2:22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2:22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2:22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2:22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2:22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2:22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2:22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2:22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2:22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2:22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2:22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2:22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2:22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2:22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2:22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2:22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2:22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2:22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2:22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2:22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2:22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2:22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2:22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2:22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2:22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2:22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2:22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2:22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2:22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2:22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2:22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2:22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2:22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2:22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2:22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2:22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2:22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2:22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2:22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2:22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2:22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2:22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2:22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2:22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2:22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2:22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2:22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2:22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2:22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2:22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2:22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2:22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2:22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2:22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2:22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2:22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2:22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2:22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2:22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2:22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2:22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2:22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2:22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2:22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2:22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2:22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2:22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2:22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2:22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2:22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2:22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2:22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2:22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2:22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2:22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2:22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2:22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2:22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2:22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2:22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2:22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2:22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2:22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2:22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2:22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2:22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2:22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2:22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2:22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2:22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2:22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2:22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2:22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2:22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2:22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2:22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2:22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2:22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2:22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2:22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2:22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2:22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2:22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2:22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2:22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2:22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2:22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2:22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2:22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2:22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2:22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2:22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2:22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2:22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2:22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2:22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2:22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2:22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2:22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2:22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2:22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2:22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2:22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2:22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2:22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2:22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2:22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2:22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2:22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2:22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2:22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2:22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2:22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2:22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2:22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2:22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2:22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2:22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2:22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2:22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2:22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2:22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2:22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2:22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2:22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2:22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2:22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2:22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2:22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2:22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2:22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2:22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2:22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2:22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2:22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2:22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2:22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2:22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2:22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2:22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2:22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2:22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2:22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2:22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2:22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2:22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2:22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2:22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2:22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2:22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2:22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2:22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2:22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2:22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2:22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2:22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2:22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2:22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2:22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2:22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2:22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2:22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2:22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2:22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2:22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2:22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2:22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2:22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2:22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2:22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2:22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2:22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2:22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2:22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2:22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2:22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2:22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2:22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2:22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2:22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2:22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2:22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2:22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2:22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2:22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2:22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2:22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2:22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2:22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2:22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2:22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2:22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2:22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2:22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2:22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2:22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2:22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2:22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2:22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2:22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2:22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2:22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2:22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2:22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2:22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2:22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2:22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2:22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2:22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2:22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2:22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2:22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2:22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2:22" ht="12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 spans="2:22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 spans="2:22" ht="12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 spans="2:22" ht="12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 spans="2:22" ht="12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 spans="2:22" ht="12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 spans="2:22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 spans="2:22" ht="12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 spans="2:22" ht="12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 spans="2:22" ht="12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 spans="2:22" ht="12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 spans="2:22" ht="12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 spans="2:22" ht="12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 spans="2:22" ht="12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 spans="2:22" ht="12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</row>
    <row r="1017" spans="2:22" ht="12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</row>
    <row r="1018" spans="2:22" ht="12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</row>
    <row r="1019" spans="2:22" ht="12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</row>
    <row r="1020" spans="2:22" ht="12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</row>
    <row r="1021" spans="2:22" ht="12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</row>
    <row r="1022" spans="2:22" ht="12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</row>
    <row r="1023" spans="2:22" ht="12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</row>
    <row r="1024" spans="2:22" ht="12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</row>
    <row r="1025" spans="2:22" ht="12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</row>
    <row r="1026" spans="2:22" ht="12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</row>
    <row r="1027" spans="2:22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</row>
    <row r="1028" spans="2:22" ht="12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</row>
    <row r="1029" spans="2:22" ht="12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</row>
    <row r="1030" spans="2:22" ht="12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</row>
    <row r="1031" spans="2:22" ht="12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</row>
    <row r="1032" spans="2:22" ht="12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</row>
    <row r="1033" spans="2:22" ht="12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</row>
    <row r="1034" spans="2:22" ht="12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</row>
    <row r="1035" spans="2:22" ht="12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</row>
    <row r="1036" spans="2:22" ht="12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</row>
    <row r="1037" spans="2:22" ht="12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</row>
    <row r="1038" spans="2:22" ht="12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</row>
    <row r="1039" spans="2:22" ht="12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</row>
    <row r="1040" spans="2:22" ht="12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</row>
    <row r="1041" spans="2:22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</row>
    <row r="1042" spans="2:22" ht="12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</row>
    <row r="1043" spans="2:22" ht="12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</row>
    <row r="1044" spans="2:22" ht="12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</row>
    <row r="1045" spans="2:22" ht="12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</row>
    <row r="1046" spans="2:22" ht="12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</row>
    <row r="1047" spans="2:22" ht="12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</row>
    <row r="1048" spans="2:22" ht="12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</row>
    <row r="1049" spans="2:22" ht="12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</row>
    <row r="1050" spans="2:22" ht="12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</row>
    <row r="1051" spans="2:22" ht="12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</row>
    <row r="1052" spans="2:22" ht="12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</row>
    <row r="1053" spans="2:22" ht="12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</row>
    <row r="1054" spans="2:22" ht="12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</row>
    <row r="1055" spans="2:22" ht="12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</row>
    <row r="1056" spans="2:22" ht="12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</row>
    <row r="1057" spans="2:22" ht="12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</row>
    <row r="1058" spans="2:22" ht="12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</row>
    <row r="1059" spans="2:22" ht="12.7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</row>
    <row r="1060" spans="2:22" ht="12.7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</row>
    <row r="1061" spans="2:22" ht="12.7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</row>
    <row r="1062" spans="2:22" ht="12.7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</row>
    <row r="1063" spans="2:22" ht="12.7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</row>
    <row r="1064" spans="2:22" ht="12.7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</row>
    <row r="1065" spans="2:22" ht="12.7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</row>
    <row r="1066" spans="2:22" ht="12.7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</row>
    <row r="1067" spans="2:22" ht="12.7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</row>
    <row r="1068" spans="2:22" ht="12.7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</row>
    <row r="1069" spans="2:22" ht="12.7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</row>
    <row r="1070" spans="2:22" ht="12.7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</row>
    <row r="1071" spans="2:22" ht="12.7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</row>
    <row r="1072" spans="2:22" ht="12.7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</row>
    <row r="1073" spans="2:22" ht="12.7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</row>
    <row r="1074" spans="2:22" ht="12.7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</row>
    <row r="1075" spans="2:22" ht="12.7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</row>
    <row r="1076" spans="2:22" ht="12.7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</row>
    <row r="1077" spans="2:22" ht="12.7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</row>
    <row r="1078" spans="2:22" ht="12.7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</row>
    <row r="1079" spans="2:22" ht="12.7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</row>
    <row r="1080" spans="2:22" ht="12.7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</row>
    <row r="1081" spans="2:22" ht="12.7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</row>
    <row r="1082" spans="2:22" ht="12.7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</row>
    <row r="1083" spans="2:22" ht="12.7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</row>
    <row r="1084" spans="2:22" ht="12.7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</row>
    <row r="1085" spans="2:22" ht="12.7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</row>
    <row r="1086" spans="2:22" ht="12.7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</row>
    <row r="1087" spans="2:22" ht="12.7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</row>
    <row r="1088" spans="2:22" ht="12.75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</row>
    <row r="1089" spans="2:22" ht="12.75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</row>
    <row r="1090" spans="2:22" ht="12.75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</row>
    <row r="1091" spans="2:22" ht="12.75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</row>
    <row r="1092" spans="2:22" ht="12.75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</row>
    <row r="1093" spans="2:22" ht="12.75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</row>
    <row r="1094" spans="2:22" ht="12.75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</row>
    <row r="1095" spans="2:22" ht="12.7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</row>
    <row r="1096" spans="2:22" ht="12.75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</row>
    <row r="1097" spans="2:22" ht="12.75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</row>
    <row r="1098" spans="2:22" ht="12.75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</row>
    <row r="1099" spans="2:22" ht="12.75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</row>
    <row r="1100" spans="2:22" ht="12.75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</row>
    <row r="1101" spans="2:22" ht="12.75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</row>
    <row r="1102" spans="2:22" ht="12.75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</row>
    <row r="1103" spans="2:22" ht="12.75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</row>
    <row r="1104" spans="2:22" ht="12.75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</row>
    <row r="1105" spans="2:22" ht="12.75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</row>
    <row r="1106" spans="2:22" ht="12.75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</row>
    <row r="1107" spans="2:22" ht="12.75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</row>
    <row r="1108" spans="2:22" ht="12.75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</row>
    <row r="1109" spans="2:22" ht="12.75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</row>
    <row r="1110" spans="2:22" ht="12.75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</row>
    <row r="1111" spans="2:22" ht="12.75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</row>
    <row r="1112" spans="2:22" ht="12.75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</row>
    <row r="1113" spans="2:22" ht="12.75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</row>
    <row r="1114" spans="2:22" ht="12.75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</row>
    <row r="1115" spans="2:22" ht="12.75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</row>
    <row r="1116" spans="2:22" ht="12.75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</row>
    <row r="1117" spans="2:22" ht="12.75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</row>
    <row r="1118" spans="2:22" ht="12.75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</row>
    <row r="1119" spans="2:22" ht="12.75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</row>
    <row r="1120" spans="2:22" ht="12.75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</row>
    <row r="1121" spans="2:22" ht="12.75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</row>
    <row r="1122" spans="2:22" ht="12.75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</row>
    <row r="1123" spans="2:22" ht="12.75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</row>
    <row r="1124" spans="2:22" ht="12.75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</row>
    <row r="1125" spans="2:22" ht="12.75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</row>
    <row r="1126" spans="2:22" ht="12.75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</row>
    <row r="1127" spans="2:22" ht="12.75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</row>
    <row r="1128" spans="2:22" ht="12.75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</row>
    <row r="1129" spans="2:22" ht="12.75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</row>
    <row r="1130" spans="2:22" ht="12.75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</row>
    <row r="1131" spans="2:22" ht="12.75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</row>
    <row r="1132" spans="2:22" ht="12.75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</row>
    <row r="1133" spans="2:22" ht="12.75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</row>
    <row r="1134" spans="2:22" ht="12.75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</row>
    <row r="1135" spans="2:22" ht="12.75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</row>
    <row r="1136" spans="2:22" ht="12.75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</row>
    <row r="1137" spans="2:22" ht="12.75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</row>
    <row r="1138" spans="2:22" ht="12.75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</row>
    <row r="1139" spans="2:22" ht="12.75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</row>
    <row r="1140" spans="2:22" ht="12.75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</row>
    <row r="1141" spans="2:22" ht="12.75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</row>
    <row r="1142" spans="2:22" ht="12.75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</row>
    <row r="1143" spans="2:22" ht="12.75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</row>
    <row r="1144" spans="2:22" ht="12.75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</row>
    <row r="1145" spans="2:22" ht="12.75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</row>
    <row r="1146" spans="2:22" ht="12.75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</row>
    <row r="1147" spans="2:22" ht="12.75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</row>
    <row r="1148" spans="2:22" ht="12.75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</row>
    <row r="1149" spans="2:22" ht="12.75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</row>
    <row r="1150" spans="2:22" ht="12.75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</row>
    <row r="1151" spans="2:22" ht="12.75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</row>
    <row r="1152" spans="2:22" ht="12.75"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</row>
    <row r="1153" spans="2:22" ht="12.75"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</row>
    <row r="1154" spans="2:22" ht="12.75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</row>
    <row r="1155" spans="2:22" ht="12.75"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</row>
    <row r="1156" spans="2:22" ht="12.75"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</row>
    <row r="1157" spans="2:22" ht="12.75"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</row>
    <row r="1158" spans="2:22" ht="12.75"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</row>
    <row r="1159" spans="2:22" ht="12.75"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</row>
    <row r="1160" spans="2:22" ht="12.75"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</row>
    <row r="1161" spans="2:22" ht="12.75"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</row>
    <row r="1162" spans="2:22" ht="12.75"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</row>
    <row r="1163" spans="2:22" ht="12.75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</row>
    <row r="1164" spans="2:22" ht="12.75"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</row>
    <row r="1165" spans="2:22" ht="12.75"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</row>
    <row r="1166" spans="2:22" ht="12.75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</row>
    <row r="1167" spans="2:22" ht="12.75"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</row>
    <row r="1168" spans="2:22" ht="12.75"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</row>
    <row r="1169" spans="2:22" ht="12.75"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</row>
    <row r="1170" spans="2:22" ht="12.75"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</row>
    <row r="1171" spans="2:22" ht="12.75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</row>
    <row r="1172" spans="2:22" ht="12.75"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</row>
    <row r="1173" spans="2:22" ht="12.75"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</row>
    <row r="1174" spans="2:22" ht="12.75"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</row>
    <row r="1175" spans="2:22" ht="12.75"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</row>
    <row r="1176" spans="2:22" ht="12.75"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</row>
    <row r="1177" spans="2:22" ht="12.75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</row>
    <row r="1178" spans="2:22" ht="12.75"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</row>
    <row r="1179" spans="2:22" ht="12.75"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</row>
    <row r="1180" spans="2:22" ht="12.75"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</row>
    <row r="1181" spans="2:22" ht="12.75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</row>
    <row r="1182" spans="2:22" ht="12.75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</row>
    <row r="1183" spans="2:22" ht="12.75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</row>
    <row r="1184" spans="2:22" ht="12.75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</row>
    <row r="1185" spans="2:22" ht="12.75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</row>
    <row r="1186" spans="2:22" ht="12.75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</row>
    <row r="1187" spans="2:22" ht="12.75"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</row>
    <row r="1188" spans="2:22" ht="12.75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</row>
    <row r="1189" spans="2:22" ht="12.75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</row>
    <row r="1190" spans="2:22" ht="12.75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</row>
    <row r="8888" ht="12.75">
      <c r="HH8888" s="100" t="s">
        <v>242</v>
      </c>
    </row>
    <row r="9000" ht="12.75">
      <c r="HH9000" s="100" t="b">
        <f>$HH$8888="JOSEPH BARTOK"</f>
        <v>1</v>
      </c>
    </row>
    <row r="65536" ht="12.75">
      <c r="IV65536" t="s">
        <v>91</v>
      </c>
    </row>
  </sheetData>
  <sheetProtection password="C3A3" sheet="1" objects="1" scenarios="1"/>
  <conditionalFormatting sqref="D20">
    <cfRule type="cellIs" priority="1" dxfId="0" operator="equal" stopIfTrue="1">
      <formula>"90-R1"</formula>
    </cfRule>
  </conditionalFormatting>
  <conditionalFormatting sqref="D23">
    <cfRule type="cellIs" priority="2" dxfId="0" operator="equal" stopIfTrue="1">
      <formula>"90-A7"</formula>
    </cfRule>
    <cfRule type="cellIs" priority="3" dxfId="0" operator="equal" stopIfTrue="1">
      <formula>"90-R4P"</formula>
    </cfRule>
  </conditionalFormatting>
  <conditionalFormatting sqref="D24">
    <cfRule type="cellIs" priority="4" dxfId="0" operator="equal" stopIfTrue="1">
      <formula>"90-A9"</formula>
    </cfRule>
    <cfRule type="cellIs" priority="5" dxfId="0" operator="equal" stopIfTrue="1">
      <formula>"90-R5P"</formula>
    </cfRule>
  </conditionalFormatting>
  <conditionalFormatting sqref="D25">
    <cfRule type="cellIs" priority="6" dxfId="0" operator="equal" stopIfTrue="1">
      <formula>"90-P5"</formula>
    </cfRule>
    <cfRule type="cellIs" priority="7" dxfId="0" operator="equal" stopIfTrue="1">
      <formula>"90-P6"</formula>
    </cfRule>
  </conditionalFormatting>
  <conditionalFormatting sqref="D26">
    <cfRule type="cellIs" priority="8" dxfId="0" operator="equal" stopIfTrue="1">
      <formula>"90-P5BV"</formula>
    </cfRule>
    <cfRule type="cellIs" priority="9" dxfId="0" operator="equal" stopIfTrue="1">
      <formula>"90-A5P"</formula>
    </cfRule>
  </conditionalFormatting>
  <conditionalFormatting sqref="D29">
    <cfRule type="cellIs" priority="10" dxfId="0" operator="equal" stopIfTrue="1">
      <formula>"90-R2"</formula>
    </cfRule>
  </conditionalFormatting>
  <conditionalFormatting sqref="D30">
    <cfRule type="cellIs" priority="11" dxfId="0" operator="equal" stopIfTrue="1">
      <formula>"90-P1"</formula>
    </cfRule>
  </conditionalFormatting>
  <conditionalFormatting sqref="D31">
    <cfRule type="cellIs" priority="12" dxfId="0" operator="equal" stopIfTrue="1">
      <formula>"90-C1"</formula>
    </cfRule>
  </conditionalFormatting>
  <conditionalFormatting sqref="D32">
    <cfRule type="cellIs" priority="13" dxfId="0" operator="equal" stopIfTrue="1">
      <formula>"90-A8"</formula>
    </cfRule>
  </conditionalFormatting>
  <conditionalFormatting sqref="D33">
    <cfRule type="cellIs" priority="14" dxfId="0" operator="equal" stopIfTrue="1">
      <formula>"90-P4"</formula>
    </cfRule>
  </conditionalFormatting>
  <conditionalFormatting sqref="D34">
    <cfRule type="cellIs" priority="15" dxfId="0" operator="equal" stopIfTrue="1">
      <formula>"90-P4BV"</formula>
    </cfRule>
  </conditionalFormatting>
  <conditionalFormatting sqref="D35">
    <cfRule type="cellIs" priority="16" dxfId="0" operator="equal" stopIfTrue="1">
      <formula>"90-Q1"</formula>
    </cfRule>
  </conditionalFormatting>
  <conditionalFormatting sqref="D36">
    <cfRule type="cellIs" priority="17" dxfId="0" operator="equal" stopIfTrue="1">
      <formula>"90-Q3"</formula>
    </cfRule>
  </conditionalFormatting>
  <conditionalFormatting sqref="I18">
    <cfRule type="cellIs" priority="18" dxfId="0" operator="equal" stopIfTrue="1">
      <formula>"90-R4B"</formula>
    </cfRule>
  </conditionalFormatting>
  <conditionalFormatting sqref="I19">
    <cfRule type="cellIs" priority="19" dxfId="0" operator="equal" stopIfTrue="1">
      <formula>"90-R4P"</formula>
    </cfRule>
  </conditionalFormatting>
  <conditionalFormatting sqref="I20">
    <cfRule type="cellIs" priority="20" dxfId="0" operator="equal" stopIfTrue="1">
      <formula>"90-R5B"</formula>
    </cfRule>
  </conditionalFormatting>
  <conditionalFormatting sqref="I21">
    <cfRule type="cellIs" priority="21" dxfId="0" operator="equal" stopIfTrue="1">
      <formula>"90-R5P"</formula>
    </cfRule>
  </conditionalFormatting>
  <conditionalFormatting sqref="I22">
    <cfRule type="cellIs" priority="22" dxfId="0" operator="equal" stopIfTrue="1">
      <formula>"90-A5B"</formula>
    </cfRule>
  </conditionalFormatting>
  <conditionalFormatting sqref="I23">
    <cfRule type="cellIs" priority="23" dxfId="0" operator="equal" stopIfTrue="1">
      <formula>"90-A5P"</formula>
    </cfRule>
  </conditionalFormatting>
  <conditionalFormatting sqref="I26">
    <cfRule type="cellIs" priority="24" dxfId="0" operator="equal" stopIfTrue="1">
      <formula>"90-P6"</formula>
    </cfRule>
  </conditionalFormatting>
  <conditionalFormatting sqref="I27">
    <cfRule type="cellIs" priority="25" dxfId="0" operator="equal" stopIfTrue="1">
      <formula>"90-R6P"</formula>
    </cfRule>
  </conditionalFormatting>
  <conditionalFormatting sqref="I28">
    <cfRule type="cellIs" priority="26" dxfId="0" operator="equal" stopIfTrue="1">
      <formula>"90-R6PBV"</formula>
    </cfRule>
  </conditionalFormatting>
  <conditionalFormatting sqref="I29">
    <cfRule type="cellIs" priority="27" dxfId="0" operator="equal" stopIfTrue="1">
      <formula>"90-VC"</formula>
    </cfRule>
  </conditionalFormatting>
  <conditionalFormatting sqref="I32">
    <cfRule type="cellIs" priority="28" dxfId="0" operator="equal" stopIfTrue="1">
      <formula>"90-R3"</formula>
    </cfRule>
  </conditionalFormatting>
  <conditionalFormatting sqref="I33">
    <cfRule type="cellIs" priority="29" dxfId="0" operator="equal" stopIfTrue="1">
      <formula>"90-P3"</formula>
    </cfRule>
  </conditionalFormatting>
  <conditionalFormatting sqref="I34">
    <cfRule type="cellIs" priority="30" dxfId="0" operator="equal" stopIfTrue="1">
      <formula>"90-C2"</formula>
    </cfRule>
  </conditionalFormatting>
  <conditionalFormatting sqref="I35">
    <cfRule type="cellIs" priority="31" dxfId="0" operator="equal" stopIfTrue="1">
      <formula>"90-R7"</formula>
    </cfRule>
  </conditionalFormatting>
  <conditionalFormatting sqref="I36">
    <cfRule type="cellIs" priority="32" dxfId="0" operator="equal" stopIfTrue="1">
      <formula>"90-R7BV"</formula>
    </cfRule>
  </conditionalFormatting>
  <conditionalFormatting sqref="I37">
    <cfRule type="cellIs" priority="33" dxfId="0" operator="equal" stopIfTrue="1">
      <formula>"90-Q2"</formula>
    </cfRule>
  </conditionalFormatting>
  <conditionalFormatting sqref="I38">
    <cfRule type="cellIs" priority="34" dxfId="0" operator="equal" stopIfTrue="1">
      <formula>"90-Q4"</formula>
    </cfRule>
  </conditionalFormatting>
  <conditionalFormatting sqref="I39">
    <cfRule type="cellIs" priority="35" dxfId="0" operator="equal" stopIfTrue="1">
      <formula>"90-VP"</formula>
    </cfRule>
  </conditionalFormatting>
  <conditionalFormatting sqref="G7">
    <cfRule type="cellIs" priority="36" dxfId="1" operator="equal" stopIfTrue="1">
      <formula>"Y"</formula>
    </cfRule>
  </conditionalFormatting>
  <conditionalFormatting sqref="F15">
    <cfRule type="cellIs" priority="37" dxfId="2" operator="equal" stopIfTrue="1">
      <formula>"ENTER N when DD or D &gt; 90"</formula>
    </cfRule>
  </conditionalFormatting>
  <conditionalFormatting sqref="G8">
    <cfRule type="cellIs" priority="38" dxfId="3" operator="equal" stopIfTrue="1">
      <formula>"DEGREES"</formula>
    </cfRule>
  </conditionalFormatting>
  <conditionalFormatting sqref="H8">
    <cfRule type="cellIs" priority="39" dxfId="3" operator="equal" stopIfTrue="1">
      <formula>"N / A"</formula>
    </cfRule>
  </conditionalFormatting>
  <conditionalFormatting sqref="F9">
    <cfRule type="cellIs" priority="40" dxfId="3" operator="equal" stopIfTrue="1">
      <formula>"SIDE 1 ANGLE: SUM of (90-P2) / 2"</formula>
    </cfRule>
    <cfRule type="cellIs" priority="41" dxfId="3" operator="equal" stopIfTrue="1">
      <formula>"MAIN PITCH ANGLE"</formula>
    </cfRule>
  </conditionalFormatting>
  <conditionalFormatting sqref="F10">
    <cfRule type="cellIs" priority="42" dxfId="3" operator="equal" stopIfTrue="1">
      <formula>"SIDE 2 ANGLE: SUM of (90-P2) / 2"</formula>
    </cfRule>
    <cfRule type="cellIs" priority="43" dxfId="3" operator="equal" stopIfTrue="1">
      <formula>"ADJACENT PITCH ANGLE"</formula>
    </cfRule>
  </conditionalFormatting>
  <conditionalFormatting sqref="D18">
    <cfRule type="cellIs" priority="44" dxfId="0" operator="equal" stopIfTrue="1">
      <formula>"90-DD"</formula>
    </cfRule>
    <cfRule type="cellIs" priority="45" dxfId="0" operator="equal" stopIfTrue="1">
      <formula>"90-C5"</formula>
    </cfRule>
    <cfRule type="cellIs" priority="46" dxfId="0" operator="equal" stopIfTrue="1">
      <formula>"90-D"</formula>
    </cfRule>
  </conditionalFormatting>
  <conditionalFormatting sqref="D19">
    <cfRule type="cellIs" priority="47" dxfId="0" operator="equal" stopIfTrue="1">
      <formula>"90-SS"</formula>
    </cfRule>
    <cfRule type="cellIs" priority="48" dxfId="0" operator="equal" stopIfTrue="1">
      <formula>"90-P2"</formula>
    </cfRule>
    <cfRule type="cellIs" priority="49" dxfId="0" operator="equal" stopIfTrue="1">
      <formula>"90-S"</formula>
    </cfRule>
  </conditionalFormatting>
  <conditionalFormatting sqref="D22">
    <cfRule type="cellIs" priority="50" dxfId="0" operator="equal" stopIfTrue="1">
      <formula>"90-C5"</formula>
    </cfRule>
    <cfRule type="cellIs" priority="51" dxfId="0" operator="equal" stopIfTrue="1">
      <formula>"90-DD"</formula>
    </cfRule>
    <cfRule type="cellIs" priority="52" dxfId="0" operator="equal" stopIfTrue="1">
      <formula>"90-D"</formula>
    </cfRule>
  </conditionalFormatting>
  <conditionalFormatting sqref="D21">
    <cfRule type="cellIs" priority="53" dxfId="0" operator="equal" stopIfTrue="1">
      <formula>"90-P2"</formula>
    </cfRule>
    <cfRule type="cellIs" priority="54" dxfId="0" operator="equal" stopIfTrue="1">
      <formula>"90-SS"</formula>
    </cfRule>
    <cfRule type="cellIs" priority="55" dxfId="0" operator="equal" stopIfTrue="1">
      <formula>"90-S"</formula>
    </cfRule>
  </conditionalFormatting>
  <dataValidations count="2">
    <dataValidation errorStyle="warning" type="custom" allowBlank="1" showInputMessage="1" showErrorMessage="1" errorTitle="DD or D EXCEEDS 90 DEGREES !" error="ENSURE COMPOUND JOINT ? = N FOR CORRECT DISPLAY OF PROMPTS." sqref="AE58">
      <formula1>LEFT($AK$52)="T"</formula1>
    </dataValidation>
    <dataValidation errorStyle="warning" type="custom" allowBlank="1" showInputMessage="1" showErrorMessage="1" sqref="AF62">
      <formula1>"T"</formula1>
    </dataValidation>
  </dataValidations>
  <hyperlinks>
    <hyperlink ref="F150" r:id="rId1" display="http:www.tfguild.org"/>
    <hyperlink ref="F155" r:id="rId2" display="http://www.steel-link.com/"/>
  </hyperlinks>
  <printOptions horizontalCentered="1" verticalCentered="1"/>
  <pageMargins left="0.25" right="0.25" top="1" bottom="1" header="0.5" footer="0.5"/>
  <pageSetup horizontalDpi="600" verticalDpi="600" orientation="landscape" scale="46" r:id="rId8"/>
  <colBreaks count="2" manualBreakCount="2">
    <brk id="44" max="65535" man="1"/>
    <brk id="66" max="65535" man="1"/>
  </colBreaks>
  <drawing r:id="rId7"/>
  <legacyDrawing r:id="rId6"/>
  <oleObjects>
    <oleObject progId="Picture" shapeId="3694908" r:id="rId3"/>
    <oleObject progId="Picture" shapeId="2484713" r:id="rId4"/>
    <oleObject progId="Picture" shapeId="249736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 ANGLE GENERATOR</dc:title>
  <dc:subject/>
  <dc:creator>Joe Bartok</dc:creator>
  <cp:keywords/>
  <dc:description>Log and timber joinery angle calculator.
</dc:description>
  <cp:lastModifiedBy>Joe</cp:lastModifiedBy>
  <cp:lastPrinted>2002-06-08T19:27:25Z</cp:lastPrinted>
  <dcterms:created xsi:type="dcterms:W3CDTF">2002-03-04T14:21:00Z</dcterms:created>
  <dcterms:modified xsi:type="dcterms:W3CDTF">2002-12-11T08:20:10Z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