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5775" activeTab="0"/>
  </bookViews>
  <sheets>
    <sheet name="Hip-Valley Roof Lengths" sheetId="1" r:id="rId1"/>
  </sheets>
  <definedNames/>
  <calcPr fullCalcOnLoad="1"/>
</workbook>
</file>

<file path=xl/sharedStrings.xml><?xml version="1.0" encoding="utf-8"?>
<sst xmlns="http://schemas.openxmlformats.org/spreadsheetml/2006/main" count="252" uniqueCount="84">
  <si>
    <t>den</t>
  </si>
  <si>
    <t>dec×den</t>
  </si>
  <si>
    <t>num</t>
  </si>
  <si>
    <t>RND num</t>
  </si>
  <si>
    <t>num/2</t>
  </si>
  <si>
    <t>feet</t>
  </si>
  <si>
    <t>INT feet</t>
  </si>
  <si>
    <t>INT inch</t>
  </si>
  <si>
    <t>inch</t>
  </si>
  <si>
    <t>DEC feet</t>
  </si>
  <si>
    <t>DEC in</t>
  </si>
  <si>
    <t>difference</t>
  </si>
  <si>
    <t>find hi non-zero den, select num</t>
  </si>
  <si>
    <t>find hi non-zero den, select den</t>
  </si>
  <si>
    <t>63/64 =</t>
  </si>
  <si>
    <t xml:space="preserve">1/64 = </t>
  </si>
  <si>
    <t>test num even/odd</t>
  </si>
  <si>
    <t>Entry Cell</t>
  </si>
  <si>
    <t>Inches</t>
  </si>
  <si>
    <t>Feet</t>
  </si>
  <si>
    <t>FEET</t>
  </si>
  <si>
    <t>INCHES</t>
  </si>
  <si>
    <t>PITCHES</t>
  </si>
  <si>
    <t>Frac in</t>
  </si>
  <si>
    <t>Num</t>
  </si>
  <si>
    <t>Den</t>
  </si>
  <si>
    <t>MAIN COMMON RUN</t>
  </si>
  <si>
    <t>Main Rise/Main Run</t>
  </si>
  <si>
    <t>Adj Rise/Adj Run</t>
  </si>
  <si>
    <t xml:space="preserve">Concatenated Return  </t>
  </si>
  <si>
    <t>Hip Roof Rise Calculation Block</t>
  </si>
  <si>
    <t>Hip Roof Rise Return Block</t>
  </si>
  <si>
    <t>Adjacent Common Run Return Block</t>
  </si>
  <si>
    <t>Adjacent Common Run Calculation Block</t>
  </si>
  <si>
    <t>Adjacent Common Length Return Block</t>
  </si>
  <si>
    <t>Adjacent Common Length Calculation Block</t>
  </si>
  <si>
    <t>Hip Rafter Run Calculation Block</t>
  </si>
  <si>
    <t>Hip Rafter Length Calculation Block</t>
  </si>
  <si>
    <t>Angle Calculation Block</t>
  </si>
  <si>
    <t>Dimension Calculation Block</t>
  </si>
  <si>
    <t>Main Pitch Degrees</t>
  </si>
  <si>
    <t>Main Pitch Radians</t>
  </si>
  <si>
    <t>Adj Pitch Radians</t>
  </si>
  <si>
    <t>Adj Pitch Degrees</t>
  </si>
  <si>
    <t>Main Plan Radians</t>
  </si>
  <si>
    <t>Main Plan Degrees</t>
  </si>
  <si>
    <t>Adj Plan Radians</t>
  </si>
  <si>
    <t>Adj Plan Degrees</t>
  </si>
  <si>
    <t>HV Pitch Radians</t>
  </si>
  <si>
    <t>HV Pitch Degrees</t>
  </si>
  <si>
    <t>Hip-Valley Rafter Run Return Block</t>
  </si>
  <si>
    <t>Hip-Valley Rafter Length Return Block</t>
  </si>
  <si>
    <t>Dec Rise</t>
  </si>
  <si>
    <t>Dec Main Run</t>
  </si>
  <si>
    <t>Dec Main Length</t>
  </si>
  <si>
    <t>Dec Adj Run</t>
  </si>
  <si>
    <t>Dec Adj Length</t>
  </si>
  <si>
    <t>Dec HV Run</t>
  </si>
  <si>
    <t>Dec HV Length</t>
  </si>
  <si>
    <t xml:space="preserve">MAIN COMMON LENGTH = </t>
  </si>
  <si>
    <t xml:space="preserve">ADJACENT COMMON RUN = </t>
  </si>
  <si>
    <t xml:space="preserve">ADJACENT COMMON LENGTH = </t>
  </si>
  <si>
    <t xml:space="preserve">HIP-VALLEY RAFTER RUN = </t>
  </si>
  <si>
    <t xml:space="preserve">HIP-VALLEY RAFTER LENGTH = </t>
  </si>
  <si>
    <t xml:space="preserve">Main Rise </t>
  </si>
  <si>
    <t xml:space="preserve">Main Run </t>
  </si>
  <si>
    <t xml:space="preserve">Adjacent Rise </t>
  </si>
  <si>
    <t xml:space="preserve">Adjacent Run </t>
  </si>
  <si>
    <t>RNDnum/2</t>
  </si>
  <si>
    <t>UNADJUSTED HIP-VALLEY ROOF DIMENSIONS</t>
  </si>
  <si>
    <t xml:space="preserve">HIP-VALLEY ROOF RISE = </t>
  </si>
  <si>
    <t>1</t>
  </si>
  <si>
    <t>2</t>
  </si>
  <si>
    <t xml:space="preserve">Plan Angle </t>
  </si>
  <si>
    <t>Dec Main Eave</t>
  </si>
  <si>
    <t>Dec Adj Eave</t>
  </si>
  <si>
    <t>Main Eave/Ridge Return Block</t>
  </si>
  <si>
    <t>Main Eave/Ridge Calculation Block</t>
  </si>
  <si>
    <t>Adjacent Eave/Ridge Return Block</t>
  </si>
  <si>
    <t>Adjacent Eave/Ridge Calculation Block</t>
  </si>
  <si>
    <t>Main Common Length Return Block</t>
  </si>
  <si>
    <t>Main Common Length Calculation Block</t>
  </si>
  <si>
    <t xml:space="preserve">MAIN EAVE-RIDGE = </t>
  </si>
  <si>
    <t xml:space="preserve">ADJACENT EAVE-RIDGE =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</si>
</sst>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2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4</xdr:row>
      <xdr:rowOff>0</xdr:rowOff>
    </xdr:from>
    <xdr:to>
      <xdr:col>4</xdr:col>
      <xdr:colOff>371475</xdr:colOff>
      <xdr:row>5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5800"/>
          <a:ext cx="352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0</xdr:rowOff>
    </xdr:from>
    <xdr:to>
      <xdr:col>4</xdr:col>
      <xdr:colOff>371475</xdr:colOff>
      <xdr:row>7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28700"/>
          <a:ext cx="352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9525</xdr:rowOff>
    </xdr:from>
    <xdr:to>
      <xdr:col>3</xdr:col>
      <xdr:colOff>9525</xdr:colOff>
      <xdr:row>14</xdr:row>
      <xdr:rowOff>28575</xdr:rowOff>
    </xdr:to>
    <xdr:pic>
      <xdr:nvPicPr>
        <xdr:cNvPr id="3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238375"/>
          <a:ext cx="619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9525</xdr:rowOff>
    </xdr:from>
    <xdr:to>
      <xdr:col>4</xdr:col>
      <xdr:colOff>9525</xdr:colOff>
      <xdr:row>14</xdr:row>
      <xdr:rowOff>28575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2238375"/>
          <a:ext cx="619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28575</xdr:colOff>
      <xdr:row>13</xdr:row>
      <xdr:rowOff>38100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7925" y="2057400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9525</xdr:rowOff>
    </xdr:from>
    <xdr:to>
      <xdr:col>5</xdr:col>
      <xdr:colOff>28575</xdr:colOff>
      <xdr:row>14</xdr:row>
      <xdr:rowOff>38100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" y="2238375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0</xdr:rowOff>
    </xdr:from>
    <xdr:to>
      <xdr:col>4</xdr:col>
      <xdr:colOff>371475</xdr:colOff>
      <xdr:row>9</xdr:row>
      <xdr:rowOff>9525</xdr:rowOff>
    </xdr:to>
    <xdr:pic>
      <xdr:nvPicPr>
        <xdr:cNvPr id="7" name="Spi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7450" y="1371600"/>
          <a:ext cx="352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</xdr:row>
      <xdr:rowOff>152400</xdr:rowOff>
    </xdr:from>
    <xdr:to>
      <xdr:col>6</xdr:col>
      <xdr:colOff>466725</xdr:colOff>
      <xdr:row>7</xdr:row>
      <xdr:rowOff>152400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83820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X98"/>
  <sheetViews>
    <sheetView showGridLines="0" tabSelected="1" workbookViewId="0" topLeftCell="A1">
      <selection activeCell="A1" sqref="A1"/>
    </sheetView>
  </sheetViews>
  <sheetFormatPr defaultColWidth="9.140625" defaultRowHeight="12.75"/>
  <cols>
    <col min="8" max="8" width="7.421875" style="0" customWidth="1"/>
    <col min="9" max="9" width="8.7109375" style="0" hidden="1" customWidth="1"/>
    <col min="10" max="12" width="9.140625" style="0" hidden="1" customWidth="1"/>
    <col min="13" max="13" width="11.28125" style="0" hidden="1" customWidth="1"/>
    <col min="14" max="14" width="13.00390625" style="0" hidden="1" customWidth="1"/>
    <col min="15" max="15" width="11.421875" style="0" hidden="1" customWidth="1"/>
    <col min="16" max="27" width="9.140625" style="0" hidden="1" customWidth="1"/>
    <col min="28" max="28" width="12.7109375" style="0" hidden="1" customWidth="1"/>
    <col min="29" max="16384" width="9.140625" style="0" hidden="1" customWidth="1"/>
  </cols>
  <sheetData>
    <row r="1" ht="13.5" customHeight="1"/>
    <row r="2" spans="1:2" ht="13.5" customHeight="1">
      <c r="A2" s="45"/>
      <c r="B2" s="2" t="s">
        <v>69</v>
      </c>
    </row>
    <row r="3" spans="1:4" ht="13.5" customHeight="1">
      <c r="A3" s="45"/>
      <c r="D3" s="45"/>
    </row>
    <row r="4" spans="1:4" ht="13.5" customHeight="1" thickBot="1">
      <c r="A4" s="45"/>
      <c r="D4" s="46" t="s">
        <v>22</v>
      </c>
    </row>
    <row r="5" spans="1:50" ht="13.5" customHeight="1" thickBot="1">
      <c r="A5" s="45"/>
      <c r="C5" s="51" t="s">
        <v>64</v>
      </c>
      <c r="D5" s="55">
        <v>6</v>
      </c>
      <c r="Y5" s="48"/>
      <c r="Z5" s="49" t="s">
        <v>38</v>
      </c>
      <c r="AA5" s="50"/>
      <c r="AI5" s="5"/>
      <c r="AJ5" s="6"/>
      <c r="AK5" s="6"/>
      <c r="AL5" s="6"/>
      <c r="AM5" s="6"/>
      <c r="AN5" s="6"/>
      <c r="AO5" s="17" t="s">
        <v>1</v>
      </c>
      <c r="AP5" s="6"/>
      <c r="AQ5" s="6"/>
      <c r="AR5" s="6"/>
      <c r="AS5" s="6"/>
      <c r="AT5" s="6" t="s">
        <v>16</v>
      </c>
      <c r="AU5" s="7"/>
      <c r="AW5" s="45"/>
      <c r="AX5" s="46">
        <v>0</v>
      </c>
    </row>
    <row r="6" spans="1:50" ht="13.5" customHeight="1" thickTop="1">
      <c r="A6" s="45"/>
      <c r="C6" s="51" t="s">
        <v>65</v>
      </c>
      <c r="D6" s="55">
        <v>12</v>
      </c>
      <c r="Y6" s="9">
        <f>$D$5/$D$6</f>
        <v>0.5</v>
      </c>
      <c r="Z6" s="15" t="s">
        <v>27</v>
      </c>
      <c r="AA6" s="8"/>
      <c r="AI6" s="18" t="s">
        <v>5</v>
      </c>
      <c r="AJ6" s="19" t="s">
        <v>6</v>
      </c>
      <c r="AK6" s="19" t="s">
        <v>9</v>
      </c>
      <c r="AL6" s="19" t="s">
        <v>8</v>
      </c>
      <c r="AM6" s="19" t="s">
        <v>7</v>
      </c>
      <c r="AN6" s="19" t="s">
        <v>10</v>
      </c>
      <c r="AO6" s="19" t="s">
        <v>2</v>
      </c>
      <c r="AP6" s="19" t="s">
        <v>0</v>
      </c>
      <c r="AQ6" s="19" t="s">
        <v>3</v>
      </c>
      <c r="AR6" s="4"/>
      <c r="AS6" s="19" t="s">
        <v>4</v>
      </c>
      <c r="AT6" s="19" t="s">
        <v>68</v>
      </c>
      <c r="AU6" s="20" t="s">
        <v>11</v>
      </c>
      <c r="AW6" s="45"/>
      <c r="AX6" s="46">
        <v>1</v>
      </c>
    </row>
    <row r="7" spans="1:50" ht="13.5" customHeight="1">
      <c r="A7" s="45"/>
      <c r="C7" s="51" t="s">
        <v>66</v>
      </c>
      <c r="D7" s="55">
        <v>10</v>
      </c>
      <c r="Y7" s="9">
        <f>$D$7/$D$8</f>
        <v>0.8333333333333334</v>
      </c>
      <c r="Z7" s="15" t="s">
        <v>28</v>
      </c>
      <c r="AA7" s="8"/>
      <c r="AI7" s="23">
        <f>$AC$10/12</f>
        <v>4.312499999999999</v>
      </c>
      <c r="AJ7" s="53">
        <f>TRUNC(AI7)</f>
        <v>4</v>
      </c>
      <c r="AK7" s="19">
        <f>AI7-AJ7</f>
        <v>0.3124999999999991</v>
      </c>
      <c r="AL7" s="19">
        <f>(AK7+0.00000000000001)*12</f>
        <v>3.7500000000001092</v>
      </c>
      <c r="AM7" s="54">
        <f>TRUNC(AL7)</f>
        <v>3</v>
      </c>
      <c r="AN7" s="53">
        <f>AL7-AM7</f>
        <v>0.7500000000001092</v>
      </c>
      <c r="AO7" s="19">
        <f>AN7*AP7</f>
        <v>1.5000000000002185</v>
      </c>
      <c r="AP7" s="19">
        <v>2</v>
      </c>
      <c r="AQ7" s="19">
        <f>ROUND(AO7,0)</f>
        <v>2</v>
      </c>
      <c r="AR7" s="4"/>
      <c r="AS7" s="19">
        <f>AQ7/2</f>
        <v>1</v>
      </c>
      <c r="AT7" s="16">
        <f>TRUNC(AS7)</f>
        <v>1</v>
      </c>
      <c r="AU7" s="20">
        <f>AS7-AT7</f>
        <v>0</v>
      </c>
      <c r="AW7" s="46">
        <v>2</v>
      </c>
      <c r="AX7" s="46">
        <v>3</v>
      </c>
    </row>
    <row r="8" spans="1:50" ht="13.5" customHeight="1" thickBot="1">
      <c r="A8" s="45"/>
      <c r="C8" s="52" t="s">
        <v>67</v>
      </c>
      <c r="D8" s="55">
        <v>12</v>
      </c>
      <c r="Y8" s="9">
        <f>ATAN($Y$6)</f>
        <v>0.4636476090008061</v>
      </c>
      <c r="Z8" s="4" t="s">
        <v>41</v>
      </c>
      <c r="AA8" s="8"/>
      <c r="AC8" s="34"/>
      <c r="AD8" s="29"/>
      <c r="AE8" s="16" t="s">
        <v>31</v>
      </c>
      <c r="AG8" s="33"/>
      <c r="AI8" s="18"/>
      <c r="AJ8" s="19"/>
      <c r="AK8" s="19"/>
      <c r="AL8" s="19">
        <f>ROUND(AL7,0)</f>
        <v>4</v>
      </c>
      <c r="AM8" s="19"/>
      <c r="AN8" s="19"/>
      <c r="AO8" s="19">
        <f>AN7*AP8</f>
        <v>3.000000000000437</v>
      </c>
      <c r="AP8" s="19">
        <v>4</v>
      </c>
      <c r="AQ8" s="19">
        <f>ROUND(AO8,0)</f>
        <v>3</v>
      </c>
      <c r="AR8" s="4"/>
      <c r="AS8" s="19">
        <f>AQ8/2</f>
        <v>1.5</v>
      </c>
      <c r="AT8" s="16">
        <f>TRUNC(AS8)</f>
        <v>1</v>
      </c>
      <c r="AU8" s="20">
        <f>AS8-AT8</f>
        <v>0.5</v>
      </c>
      <c r="AW8" s="46">
        <v>4</v>
      </c>
      <c r="AX8" s="46">
        <v>5</v>
      </c>
    </row>
    <row r="9" spans="1:50" ht="13.5" customHeight="1">
      <c r="A9" s="45"/>
      <c r="C9" s="52" t="s">
        <v>73</v>
      </c>
      <c r="D9" s="55">
        <v>90</v>
      </c>
      <c r="Y9" s="9">
        <f>DEGREES($Y$8)</f>
        <v>26.56505117707799</v>
      </c>
      <c r="Z9" s="4" t="s">
        <v>40</v>
      </c>
      <c r="AA9" s="8"/>
      <c r="AC9" s="40" t="s">
        <v>17</v>
      </c>
      <c r="AD9" s="38" t="s">
        <v>19</v>
      </c>
      <c r="AE9" s="17" t="s">
        <v>18</v>
      </c>
      <c r="AF9" s="17" t="s">
        <v>24</v>
      </c>
      <c r="AG9" s="39" t="s">
        <v>25</v>
      </c>
      <c r="AI9" s="18"/>
      <c r="AJ9" s="19"/>
      <c r="AK9" s="19"/>
      <c r="AL9" s="29">
        <f>IF(AN7&gt;=AP13,AL8,AM7)</f>
        <v>3</v>
      </c>
      <c r="AM9" s="16"/>
      <c r="AN9" s="19"/>
      <c r="AO9" s="19">
        <f>AN7*AP9</f>
        <v>6.000000000000874</v>
      </c>
      <c r="AP9" s="19">
        <v>8</v>
      </c>
      <c r="AQ9" s="19">
        <f>ROUND(AO9,0)</f>
        <v>6</v>
      </c>
      <c r="AR9" s="4"/>
      <c r="AS9" s="19">
        <f>AQ9/2</f>
        <v>3</v>
      </c>
      <c r="AT9" s="16">
        <f>TRUNC(AS9)</f>
        <v>3</v>
      </c>
      <c r="AU9" s="20">
        <f>AS9-AT9</f>
        <v>0</v>
      </c>
      <c r="AW9" s="46">
        <v>8</v>
      </c>
      <c r="AX9" s="46">
        <v>7</v>
      </c>
    </row>
    <row r="10" spans="1:50" ht="13.5" customHeight="1" thickBot="1">
      <c r="A10" s="45"/>
      <c r="D10" s="1">
        <f>IF($Y$13&lt;0,"Main Plan Angle exceeds 90 Degrees",IF($Y$15&lt;0,"Adjacent Plan Angle exceeds 90 Degrees",""))</f>
      </c>
      <c r="Y10" s="9">
        <f>ATAN($Y$7)</f>
        <v>0.6947382761967033</v>
      </c>
      <c r="Z10" s="4" t="s">
        <v>42</v>
      </c>
      <c r="AA10" s="8"/>
      <c r="AC10" s="41">
        <f>$Y$22</f>
        <v>51.74999999999999</v>
      </c>
      <c r="AD10" s="42">
        <f>IF($AL$9=12,$AJ$7+1,$AJ$7)</f>
        <v>4</v>
      </c>
      <c r="AE10" s="35">
        <f>IF($AL$9=12,0,$AL$9)</f>
        <v>3</v>
      </c>
      <c r="AF10" s="36">
        <f>IF($AN$7&gt;=$AP$13,"",IF($AN$7&lt;$AP$14,"",$AR$13))</f>
        <v>3</v>
      </c>
      <c r="AG10" s="37">
        <f>IF($AN$7&gt;=$AP$13,"",IF($AN$7&lt;$AP$14,"",$AR$14))</f>
        <v>4</v>
      </c>
      <c r="AI10" s="9"/>
      <c r="AJ10" s="4"/>
      <c r="AK10" s="15"/>
      <c r="AL10" s="3"/>
      <c r="AM10" s="15"/>
      <c r="AN10" s="15"/>
      <c r="AO10" s="19">
        <f>AN7*AP10</f>
        <v>12.000000000001748</v>
      </c>
      <c r="AP10" s="19">
        <v>16</v>
      </c>
      <c r="AQ10" s="19">
        <f>ROUND(AO10,0)</f>
        <v>12</v>
      </c>
      <c r="AR10" s="4"/>
      <c r="AS10" s="19">
        <f>AQ10/2</f>
        <v>6</v>
      </c>
      <c r="AT10" s="16">
        <f>TRUNC(AS10)</f>
        <v>6</v>
      </c>
      <c r="AU10" s="20">
        <f>AS10-AT10</f>
        <v>0</v>
      </c>
      <c r="AW10" s="46">
        <v>16</v>
      </c>
      <c r="AX10" s="46">
        <v>9</v>
      </c>
    </row>
    <row r="11" spans="1:50" ht="13.5" customHeight="1">
      <c r="A11" s="45"/>
      <c r="D11" s="1" t="s">
        <v>26</v>
      </c>
      <c r="Y11" s="9">
        <f>DEGREES($Y$10)</f>
        <v>39.8055710922652</v>
      </c>
      <c r="Z11" s="4" t="s">
        <v>43</v>
      </c>
      <c r="AA11" s="8"/>
      <c r="AE11" s="43" t="s">
        <v>29</v>
      </c>
      <c r="AF11" t="str">
        <f>IF($AF$10&lt;&gt;"",CONCATENATE($AD$10,"'"," – ",$AE$10,"  ",$AF$10,"/",$AG$10,"'"),CONCATENATE($AD$10,"'"," – ",$AE$10,"'"))</f>
        <v>4' – 3  3/4''</v>
      </c>
      <c r="AI11" s="9"/>
      <c r="AJ11" s="32" t="s">
        <v>30</v>
      </c>
      <c r="AK11" s="24"/>
      <c r="AL11" s="24"/>
      <c r="AM11" s="24"/>
      <c r="AN11" s="15"/>
      <c r="AO11" s="19">
        <f>AN7*AP11</f>
        <v>24.000000000003496</v>
      </c>
      <c r="AP11" s="19">
        <v>32</v>
      </c>
      <c r="AQ11" s="19">
        <f>ROUND(AO11,0)</f>
        <v>24</v>
      </c>
      <c r="AR11" s="4"/>
      <c r="AS11" s="19">
        <f>AQ11/2</f>
        <v>12</v>
      </c>
      <c r="AT11" s="16">
        <f>TRUNC(AS11)</f>
        <v>12</v>
      </c>
      <c r="AU11" s="20">
        <f>AS11-AT11</f>
        <v>0</v>
      </c>
      <c r="AW11" s="46">
        <v>32</v>
      </c>
      <c r="AX11" s="46">
        <v>11</v>
      </c>
    </row>
    <row r="12" spans="1:50" ht="13.5" customHeight="1">
      <c r="A12" s="45"/>
      <c r="C12" s="46" t="s">
        <v>20</v>
      </c>
      <c r="D12" s="46" t="s">
        <v>21</v>
      </c>
      <c r="E12" s="1" t="s">
        <v>23</v>
      </c>
      <c r="Y12" s="9">
        <f>ATAN(SIN(RADIANS($D$9))/($Y$6/$Y$7+COS(RADIANS($D$9))))</f>
        <v>1.0303768265243125</v>
      </c>
      <c r="Z12" s="4" t="s">
        <v>44</v>
      </c>
      <c r="AA12" s="8"/>
      <c r="AI12" s="9"/>
      <c r="AJ12" s="26"/>
      <c r="AK12" s="25"/>
      <c r="AL12" s="25"/>
      <c r="AM12" s="25"/>
      <c r="AN12" s="19"/>
      <c r="AO12" s="4"/>
      <c r="AP12" s="4"/>
      <c r="AQ12" s="4"/>
      <c r="AR12" s="4"/>
      <c r="AS12" s="4"/>
      <c r="AT12" s="4"/>
      <c r="AU12" s="8"/>
      <c r="AW12" s="45"/>
      <c r="AX12" s="46">
        <v>13</v>
      </c>
    </row>
    <row r="13" spans="1:50" ht="13.5" customHeight="1" thickBot="1">
      <c r="A13" s="45"/>
      <c r="C13" s="56">
        <v>8</v>
      </c>
      <c r="D13" s="56">
        <v>7</v>
      </c>
      <c r="E13" s="55" t="s">
        <v>71</v>
      </c>
      <c r="Y13" s="9">
        <f>DEGREES($Y$12)</f>
        <v>59.03624346792648</v>
      </c>
      <c r="Z13" s="4" t="s">
        <v>45</v>
      </c>
      <c r="AA13" s="8"/>
      <c r="AI13" s="9"/>
      <c r="AJ13" s="4"/>
      <c r="AK13" s="19"/>
      <c r="AL13" s="19"/>
      <c r="AM13" s="4"/>
      <c r="AN13" s="19"/>
      <c r="AO13" s="21" t="s">
        <v>14</v>
      </c>
      <c r="AP13" s="14">
        <v>0.984375</v>
      </c>
      <c r="AQ13" s="4"/>
      <c r="AR13" s="30">
        <f>IF(AU11&gt;0,AQ11,IF(AU10&gt;0,AQ10,IF(AU9&gt;0,AQ9,IF(AU8&gt;0,AQ8,AQ7))))</f>
        <v>3</v>
      </c>
      <c r="AS13" s="4" t="s">
        <v>12</v>
      </c>
      <c r="AT13" s="4"/>
      <c r="AU13" s="8"/>
      <c r="AW13" s="45"/>
      <c r="AX13" s="46">
        <v>15</v>
      </c>
    </row>
    <row r="14" spans="1:50" ht="13.5" customHeight="1" thickBot="1" thickTop="1">
      <c r="A14" s="45"/>
      <c r="C14" s="44"/>
      <c r="D14" s="44"/>
      <c r="E14" s="57" t="s">
        <v>72</v>
      </c>
      <c r="Y14" s="9">
        <f>ATAN(SIN(RADIANS($D$9))/($Y$7/$Y$6+COS(RADIANS($D$9))))</f>
        <v>0.5404195002705842</v>
      </c>
      <c r="Z14" s="4" t="s">
        <v>46</v>
      </c>
      <c r="AA14" s="8"/>
      <c r="AI14" s="13"/>
      <c r="AJ14" s="10"/>
      <c r="AK14" s="10"/>
      <c r="AL14" s="10"/>
      <c r="AM14" s="10"/>
      <c r="AN14" s="10"/>
      <c r="AO14" s="22" t="s">
        <v>15</v>
      </c>
      <c r="AP14" s="27">
        <v>0.015625</v>
      </c>
      <c r="AQ14" s="10"/>
      <c r="AR14" s="31">
        <f>IF(AU11&gt;0,AP11,IF(AU10&gt;0,AP10,IF(AU9&gt;0,AP9,IF(AU8&gt;0,AP8,AP7))))</f>
        <v>4</v>
      </c>
      <c r="AS14" s="10" t="s">
        <v>13</v>
      </c>
      <c r="AT14" s="10"/>
      <c r="AU14" s="11"/>
      <c r="AW14" s="45"/>
      <c r="AX14" s="46">
        <v>17</v>
      </c>
    </row>
    <row r="15" spans="25:50" ht="13.5" customHeight="1">
      <c r="Y15" s="9">
        <f>DEGREES($Y$14)</f>
        <v>30.96375653207352</v>
      </c>
      <c r="Z15" s="4" t="s">
        <v>47</v>
      </c>
      <c r="AA15" s="8"/>
      <c r="AW15" s="45"/>
      <c r="AX15" s="46">
        <v>19</v>
      </c>
    </row>
    <row r="16" spans="4:50" ht="13.5" customHeight="1" thickBot="1">
      <c r="D16" s="43" t="s">
        <v>70</v>
      </c>
      <c r="E16" s="2" t="str">
        <f>$AF$11</f>
        <v>4' – 3  3/4''</v>
      </c>
      <c r="Y16" s="9">
        <f>ATAN($Y$6*SIN($Y$12))</f>
        <v>0.40503965070554243</v>
      </c>
      <c r="Z16" s="4" t="s">
        <v>48</v>
      </c>
      <c r="AA16" s="8"/>
      <c r="AW16" s="45"/>
      <c r="AX16" s="46">
        <v>21</v>
      </c>
    </row>
    <row r="17" spans="25:50" ht="13.5" customHeight="1" thickBot="1">
      <c r="Y17" s="13">
        <f>DEGREES($Y$16)</f>
        <v>23.207062520880637</v>
      </c>
      <c r="Z17" s="10" t="s">
        <v>49</v>
      </c>
      <c r="AA17" s="11"/>
      <c r="AI17" s="5"/>
      <c r="AJ17" s="6"/>
      <c r="AK17" s="6"/>
      <c r="AL17" s="6"/>
      <c r="AM17" s="6"/>
      <c r="AN17" s="6"/>
      <c r="AO17" s="17" t="s">
        <v>1</v>
      </c>
      <c r="AP17" s="6"/>
      <c r="AQ17" s="6"/>
      <c r="AR17" s="6"/>
      <c r="AS17" s="6"/>
      <c r="AT17" s="6" t="s">
        <v>16</v>
      </c>
      <c r="AU17" s="7"/>
      <c r="AW17" s="45"/>
      <c r="AX17" s="46">
        <v>23</v>
      </c>
    </row>
    <row r="18" spans="3:50" ht="13.5" customHeight="1">
      <c r="C18" s="2"/>
      <c r="D18" s="43" t="s">
        <v>59</v>
      </c>
      <c r="E18" s="47" t="str">
        <f>$AF$23</f>
        <v>9' – 7  23/32''</v>
      </c>
      <c r="AI18" s="18" t="s">
        <v>5</v>
      </c>
      <c r="AJ18" s="19" t="s">
        <v>6</v>
      </c>
      <c r="AK18" s="19" t="s">
        <v>9</v>
      </c>
      <c r="AL18" s="19" t="s">
        <v>8</v>
      </c>
      <c r="AM18" s="19" t="s">
        <v>7</v>
      </c>
      <c r="AN18" s="19" t="s">
        <v>10</v>
      </c>
      <c r="AO18" s="19" t="s">
        <v>2</v>
      </c>
      <c r="AP18" s="19" t="s">
        <v>0</v>
      </c>
      <c r="AQ18" s="19" t="s">
        <v>3</v>
      </c>
      <c r="AR18" s="4"/>
      <c r="AS18" s="19" t="s">
        <v>4</v>
      </c>
      <c r="AT18" s="19" t="s">
        <v>68</v>
      </c>
      <c r="AU18" s="20" t="s">
        <v>11</v>
      </c>
      <c r="AW18" s="45"/>
      <c r="AX18" s="46">
        <v>25</v>
      </c>
    </row>
    <row r="19" spans="35:50" ht="13.5" customHeight="1">
      <c r="AI19" s="23">
        <f>$AC$22/12</f>
        <v>9.643043152967843</v>
      </c>
      <c r="AJ19" s="28">
        <f>TRUNC(AI19)</f>
        <v>9</v>
      </c>
      <c r="AK19" s="19">
        <f>AI19-AJ19</f>
        <v>0.6430431529678433</v>
      </c>
      <c r="AL19" s="19">
        <f>(AK19+0.00000000000001)*12</f>
        <v>7.71651783561424</v>
      </c>
      <c r="AM19" s="12">
        <f>TRUNC(AL19)</f>
        <v>7</v>
      </c>
      <c r="AN19" s="28">
        <f>AL19-AM19</f>
        <v>0.7165178356142397</v>
      </c>
      <c r="AO19" s="19">
        <f>AN19*AP19</f>
        <v>1.4330356712284793</v>
      </c>
      <c r="AP19" s="19">
        <v>2</v>
      </c>
      <c r="AQ19" s="19">
        <f>ROUND(AO19,0)</f>
        <v>1</v>
      </c>
      <c r="AR19" s="4"/>
      <c r="AS19" s="19">
        <f>AQ19/2</f>
        <v>0.5</v>
      </c>
      <c r="AT19" s="16">
        <f>TRUNC(AS19)</f>
        <v>0</v>
      </c>
      <c r="AU19" s="20">
        <f>AS19-AT19</f>
        <v>0.5</v>
      </c>
      <c r="AW19" s="45"/>
      <c r="AX19" s="46">
        <v>27</v>
      </c>
    </row>
    <row r="20" spans="2:50" ht="13.5" customHeight="1" thickBot="1">
      <c r="B20" s="45"/>
      <c r="C20" s="45"/>
      <c r="D20" s="52" t="s">
        <v>82</v>
      </c>
      <c r="E20" s="68" t="str">
        <f>$AF$35</f>
        <v>5' – 2  3/32''</v>
      </c>
      <c r="AC20" s="34"/>
      <c r="AD20" s="29"/>
      <c r="AE20" s="16" t="s">
        <v>80</v>
      </c>
      <c r="AG20" s="33"/>
      <c r="AI20" s="18"/>
      <c r="AJ20" s="19"/>
      <c r="AK20" s="19"/>
      <c r="AL20" s="19">
        <f>ROUND(AL19,0)</f>
        <v>8</v>
      </c>
      <c r="AM20" s="19"/>
      <c r="AN20" s="19"/>
      <c r="AO20" s="19">
        <f>AN19*AP20</f>
        <v>2.8660713424569586</v>
      </c>
      <c r="AP20" s="19">
        <v>4</v>
      </c>
      <c r="AQ20" s="19">
        <f>ROUND(AO20,0)</f>
        <v>3</v>
      </c>
      <c r="AR20" s="4"/>
      <c r="AS20" s="19">
        <f>AQ20/2</f>
        <v>1.5</v>
      </c>
      <c r="AT20" s="16">
        <f>TRUNC(AS20)</f>
        <v>1</v>
      </c>
      <c r="AU20" s="20">
        <f>AS20-AT20</f>
        <v>0.5</v>
      </c>
      <c r="AW20" s="45"/>
      <c r="AX20" s="46">
        <v>29</v>
      </c>
    </row>
    <row r="21" spans="25:50" ht="13.5" customHeight="1" thickBot="1">
      <c r="Y21" s="59"/>
      <c r="Z21" s="60" t="s">
        <v>39</v>
      </c>
      <c r="AA21" s="61"/>
      <c r="AC21" s="40" t="s">
        <v>17</v>
      </c>
      <c r="AD21" s="38" t="s">
        <v>19</v>
      </c>
      <c r="AE21" s="17" t="s">
        <v>18</v>
      </c>
      <c r="AF21" s="17" t="s">
        <v>24</v>
      </c>
      <c r="AG21" s="39" t="s">
        <v>25</v>
      </c>
      <c r="AI21" s="18"/>
      <c r="AJ21" s="19"/>
      <c r="AK21" s="19"/>
      <c r="AL21" s="29">
        <f>IF(AN19&gt;=AP25,AL20,AM19)</f>
        <v>7</v>
      </c>
      <c r="AM21" s="16"/>
      <c r="AN21" s="19"/>
      <c r="AO21" s="19">
        <f>AN19*AP21</f>
        <v>5.732142684913917</v>
      </c>
      <c r="AP21" s="19">
        <v>8</v>
      </c>
      <c r="AQ21" s="19">
        <f>ROUND(AO21,0)</f>
        <v>6</v>
      </c>
      <c r="AR21" s="4"/>
      <c r="AS21" s="19">
        <f>AQ21/2</f>
        <v>3</v>
      </c>
      <c r="AT21" s="16">
        <f>TRUNC(AS21)</f>
        <v>3</v>
      </c>
      <c r="AU21" s="20">
        <f>AS21-AT21</f>
        <v>0</v>
      </c>
      <c r="AW21" s="45"/>
      <c r="AX21" s="46">
        <v>31</v>
      </c>
    </row>
    <row r="22" spans="2:47" ht="13.5" customHeight="1" thickBot="1" thickTop="1">
      <c r="B22" s="2"/>
      <c r="D22" s="43" t="s">
        <v>60</v>
      </c>
      <c r="E22" s="47" t="str">
        <f>$AF$47</f>
        <v>5' – 2  3/32''</v>
      </c>
      <c r="Y22" s="65">
        <f>$Y$23*TAN($Y$8)</f>
        <v>51.74999999999999</v>
      </c>
      <c r="Z22" s="4" t="s">
        <v>52</v>
      </c>
      <c r="AA22" s="62"/>
      <c r="AC22" s="41">
        <f>$Y$24</f>
        <v>115.71651783561413</v>
      </c>
      <c r="AD22" s="42">
        <f>IF($AL$21=12,$AJ$19+1,$AJ$19)</f>
        <v>9</v>
      </c>
      <c r="AE22" s="35">
        <f>IF($AL$21=12,0,$AL$21)</f>
        <v>7</v>
      </c>
      <c r="AF22" s="36">
        <f>IF($AN$19&gt;=$AP$25,"",IF($AN$19&lt;$AP$26,"",$AR$25))</f>
        <v>23</v>
      </c>
      <c r="AG22" s="37">
        <f>IF($AN$19&gt;=$AP$25,"",IF($AN$19&lt;$AP$26,"",$AR$26))</f>
        <v>32</v>
      </c>
      <c r="AI22" s="9"/>
      <c r="AJ22" s="4"/>
      <c r="AK22" s="15"/>
      <c r="AL22" s="3"/>
      <c r="AM22" s="15"/>
      <c r="AN22" s="15"/>
      <c r="AO22" s="19">
        <f>AN19*AP22</f>
        <v>11.464285369827834</v>
      </c>
      <c r="AP22" s="19">
        <v>16</v>
      </c>
      <c r="AQ22" s="19">
        <f>ROUND(AO22,0)</f>
        <v>11</v>
      </c>
      <c r="AR22" s="4"/>
      <c r="AS22" s="19">
        <f>AQ22/2</f>
        <v>5.5</v>
      </c>
      <c r="AT22" s="16">
        <f>TRUNC(AS22)</f>
        <v>5</v>
      </c>
      <c r="AU22" s="20">
        <f>AS22-AT22</f>
        <v>0.5</v>
      </c>
    </row>
    <row r="23" spans="25:47" ht="13.5" customHeight="1">
      <c r="Y23" s="66">
        <f>12*$C$13+$D$13+$E$13/$E$14</f>
        <v>103.5</v>
      </c>
      <c r="Z23" s="4" t="s">
        <v>53</v>
      </c>
      <c r="AA23" s="62"/>
      <c r="AE23" s="43" t="s">
        <v>29</v>
      </c>
      <c r="AF23" t="str">
        <f>IF($AF$22&lt;&gt;"",CONCATENATE($AD$22,"'"," – ",$AE$22,"  ",$AF$22,"/",$AG$22,"'"),CONCATENATE($AD$22,"'"," – ",$AE$22,"'"))</f>
        <v>9' – 7  23/32''</v>
      </c>
      <c r="AI23" s="9"/>
      <c r="AJ23" s="32" t="s">
        <v>81</v>
      </c>
      <c r="AK23" s="24"/>
      <c r="AL23" s="24"/>
      <c r="AM23" s="24"/>
      <c r="AN23" s="15"/>
      <c r="AO23" s="19">
        <f>AN19*AP23</f>
        <v>22.92857073965567</v>
      </c>
      <c r="AP23" s="19">
        <v>32</v>
      </c>
      <c r="AQ23" s="19">
        <f>ROUND(AO23,0)</f>
        <v>23</v>
      </c>
      <c r="AR23" s="4"/>
      <c r="AS23" s="19">
        <f>AQ23/2</f>
        <v>11.5</v>
      </c>
      <c r="AT23" s="16">
        <f>TRUNC(AS23)</f>
        <v>11</v>
      </c>
      <c r="AU23" s="20">
        <f>AS23-AT23</f>
        <v>0.5</v>
      </c>
    </row>
    <row r="24" spans="4:47" ht="13.5" customHeight="1">
      <c r="D24" s="43" t="s">
        <v>61</v>
      </c>
      <c r="E24" s="47" t="str">
        <f>$AF$59</f>
        <v>6' – 8  27/32''</v>
      </c>
      <c r="Y24" s="65">
        <f>$Y$23/COS($Y$8)</f>
        <v>115.71651783561413</v>
      </c>
      <c r="Z24" s="4" t="s">
        <v>54</v>
      </c>
      <c r="AA24" s="62"/>
      <c r="AI24" s="9"/>
      <c r="AJ24" s="26"/>
      <c r="AK24" s="25"/>
      <c r="AL24" s="25"/>
      <c r="AM24" s="25"/>
      <c r="AN24" s="19"/>
      <c r="AO24" s="4"/>
      <c r="AP24" s="4"/>
      <c r="AQ24" s="4"/>
      <c r="AR24" s="4"/>
      <c r="AS24" s="4"/>
      <c r="AT24" s="4"/>
      <c r="AU24" s="8"/>
    </row>
    <row r="25" spans="25:47" ht="13.5" customHeight="1" thickBot="1">
      <c r="Y25" s="65">
        <f>$Y$29*COS($Y$12)</f>
        <v>62.099999999999994</v>
      </c>
      <c r="Z25" s="4" t="s">
        <v>74</v>
      </c>
      <c r="AA25" s="62"/>
      <c r="AI25" s="9"/>
      <c r="AJ25" s="4"/>
      <c r="AK25" s="19"/>
      <c r="AL25" s="19"/>
      <c r="AM25" s="4"/>
      <c r="AN25" s="19"/>
      <c r="AO25" s="21" t="s">
        <v>14</v>
      </c>
      <c r="AP25" s="14">
        <v>0.984375</v>
      </c>
      <c r="AQ25" s="4"/>
      <c r="AR25" s="30">
        <f>IF(AU23&gt;0,AQ23,IF(AU22&gt;0,AQ22,IF(AU21&gt;0,AQ21,IF(AU20&gt;0,AQ20,AQ19))))</f>
        <v>23</v>
      </c>
      <c r="AS25" s="4" t="s">
        <v>12</v>
      </c>
      <c r="AT25" s="4"/>
      <c r="AU25" s="8"/>
    </row>
    <row r="26" spans="4:47" ht="13.5" customHeight="1" thickBot="1" thickTop="1">
      <c r="D26" s="52" t="s">
        <v>83</v>
      </c>
      <c r="E26" s="68" t="str">
        <f>$AF$71</f>
        <v>8' – 7  1/2''</v>
      </c>
      <c r="Y26" s="65">
        <f>$Y$29*SIN($Y$14)</f>
        <v>62.10000000000001</v>
      </c>
      <c r="Z26" s="4" t="s">
        <v>55</v>
      </c>
      <c r="AA26" s="62"/>
      <c r="AI26" s="13"/>
      <c r="AJ26" s="10"/>
      <c r="AK26" s="10"/>
      <c r="AL26" s="10"/>
      <c r="AM26" s="10"/>
      <c r="AN26" s="10"/>
      <c r="AO26" s="22" t="s">
        <v>15</v>
      </c>
      <c r="AP26" s="27">
        <v>0.015625</v>
      </c>
      <c r="AQ26" s="10"/>
      <c r="AR26" s="31">
        <f>IF(AU23&gt;0,AP23,IF(AU22&gt;0,AP22,IF(AU21&gt;0,AP21,IF(AU20&gt;0,AP20,AP19))))</f>
        <v>32</v>
      </c>
      <c r="AS26" s="10" t="s">
        <v>13</v>
      </c>
      <c r="AT26" s="10"/>
      <c r="AU26" s="11"/>
    </row>
    <row r="27" spans="25:27" ht="13.5" customHeight="1">
      <c r="Y27" s="65">
        <f>$Y$26/COS($Y$10)</f>
        <v>80.83608414563389</v>
      </c>
      <c r="Z27" s="4" t="s">
        <v>56</v>
      </c>
      <c r="AA27" s="62"/>
    </row>
    <row r="28" spans="4:27" ht="13.5" customHeight="1" thickBot="1">
      <c r="D28" s="43" t="s">
        <v>62</v>
      </c>
      <c r="E28" s="47" t="str">
        <f>$AF$83</f>
        <v>10' – 0  11/16''</v>
      </c>
      <c r="Y28" s="65">
        <f>$Y$29*COS($Y$14)</f>
        <v>103.5</v>
      </c>
      <c r="Z28" s="4" t="s">
        <v>75</v>
      </c>
      <c r="AA28" s="62"/>
    </row>
    <row r="29" spans="25:47" ht="13.5" customHeight="1">
      <c r="Y29" s="65">
        <f>$Y$23/SIN($Y$12)</f>
        <v>120.70070422329772</v>
      </c>
      <c r="Z29" s="4" t="s">
        <v>57</v>
      </c>
      <c r="AA29" s="62"/>
      <c r="AI29" s="5"/>
      <c r="AJ29" s="6"/>
      <c r="AK29" s="6"/>
      <c r="AL29" s="6"/>
      <c r="AM29" s="6"/>
      <c r="AN29" s="6"/>
      <c r="AO29" s="17" t="s">
        <v>1</v>
      </c>
      <c r="AP29" s="6"/>
      <c r="AQ29" s="6"/>
      <c r="AR29" s="6"/>
      <c r="AS29" s="6"/>
      <c r="AT29" s="6" t="s">
        <v>16</v>
      </c>
      <c r="AU29" s="7"/>
    </row>
    <row r="30" spans="2:47" ht="12.75">
      <c r="B30" s="2"/>
      <c r="D30" s="43" t="s">
        <v>63</v>
      </c>
      <c r="E30" s="47" t="str">
        <f>$AF$95</f>
        <v>10' – 11  5/16''</v>
      </c>
      <c r="Y30" s="67">
        <f>$Y$29/COS($Y$16)</f>
        <v>131.32677754365255</v>
      </c>
      <c r="Z30" s="63" t="s">
        <v>58</v>
      </c>
      <c r="AA30" s="64"/>
      <c r="AI30" s="18" t="s">
        <v>5</v>
      </c>
      <c r="AJ30" s="19" t="s">
        <v>6</v>
      </c>
      <c r="AK30" s="19" t="s">
        <v>9</v>
      </c>
      <c r="AL30" s="19" t="s">
        <v>8</v>
      </c>
      <c r="AM30" s="19" t="s">
        <v>7</v>
      </c>
      <c r="AN30" s="19" t="s">
        <v>10</v>
      </c>
      <c r="AO30" s="19" t="s">
        <v>2</v>
      </c>
      <c r="AP30" s="19" t="s">
        <v>0</v>
      </c>
      <c r="AQ30" s="19" t="s">
        <v>3</v>
      </c>
      <c r="AR30" s="4"/>
      <c r="AS30" s="19" t="s">
        <v>4</v>
      </c>
      <c r="AT30" s="19" t="s">
        <v>68</v>
      </c>
      <c r="AU30" s="20" t="s">
        <v>11</v>
      </c>
    </row>
    <row r="31" spans="1:47" ht="13.5" thickBot="1">
      <c r="A31" s="58"/>
      <c r="B31" s="58"/>
      <c r="C31" s="58"/>
      <c r="D31" s="58"/>
      <c r="E31" s="58"/>
      <c r="F31" s="58"/>
      <c r="G31" s="58"/>
      <c r="H31" s="58"/>
      <c r="Y31" s="45"/>
      <c r="AI31" s="23">
        <f>$AC$34/12</f>
        <v>5.175</v>
      </c>
      <c r="AJ31" s="28">
        <f>TRUNC(AI31)</f>
        <v>5</v>
      </c>
      <c r="AK31" s="19">
        <f>AI31-AJ31</f>
        <v>0.17499999999999982</v>
      </c>
      <c r="AL31" s="19">
        <f>(AK31+0.00000000000001)*12</f>
        <v>2.1000000000001178</v>
      </c>
      <c r="AM31" s="12">
        <f>TRUNC(AL31)</f>
        <v>2</v>
      </c>
      <c r="AN31" s="28">
        <f>AL31-AM31</f>
        <v>0.10000000000011777</v>
      </c>
      <c r="AO31" s="19">
        <f>AN31*AP31</f>
        <v>0.20000000000023554</v>
      </c>
      <c r="AP31" s="19">
        <v>2</v>
      </c>
      <c r="AQ31" s="19">
        <f>ROUND(AO31,0)</f>
        <v>0</v>
      </c>
      <c r="AR31" s="4"/>
      <c r="AS31" s="19">
        <f>AQ31/2</f>
        <v>0</v>
      </c>
      <c r="AT31" s="16">
        <f>TRUNC(AS31)</f>
        <v>0</v>
      </c>
      <c r="AU31" s="20">
        <f>AS31-AT31</f>
        <v>0</v>
      </c>
    </row>
    <row r="32" spans="25:47" ht="14.25" thickBot="1" thickTop="1">
      <c r="Y32" s="45"/>
      <c r="AC32" s="34"/>
      <c r="AD32" s="29"/>
      <c r="AE32" s="16" t="s">
        <v>76</v>
      </c>
      <c r="AG32" s="33"/>
      <c r="AI32" s="18"/>
      <c r="AJ32" s="19"/>
      <c r="AK32" s="19"/>
      <c r="AL32" s="19">
        <f>ROUND(AL31,0)</f>
        <v>2</v>
      </c>
      <c r="AM32" s="19"/>
      <c r="AN32" s="19"/>
      <c r="AO32" s="19">
        <f>AN31*AP32</f>
        <v>0.4000000000004711</v>
      </c>
      <c r="AP32" s="19">
        <v>4</v>
      </c>
      <c r="AQ32" s="19">
        <f>ROUND(AO32,0)</f>
        <v>0</v>
      </c>
      <c r="AR32" s="4"/>
      <c r="AS32" s="19">
        <f>AQ32/2</f>
        <v>0</v>
      </c>
      <c r="AT32" s="16">
        <f>TRUNC(AS32)</f>
        <v>0</v>
      </c>
      <c r="AU32" s="20">
        <f>AS32-AT32</f>
        <v>0</v>
      </c>
    </row>
    <row r="33" spans="25:47" ht="12.75">
      <c r="Y33" s="45"/>
      <c r="AC33" s="40" t="s">
        <v>17</v>
      </c>
      <c r="AD33" s="38" t="s">
        <v>19</v>
      </c>
      <c r="AE33" s="17" t="s">
        <v>18</v>
      </c>
      <c r="AF33" s="17" t="s">
        <v>24</v>
      </c>
      <c r="AG33" s="39" t="s">
        <v>25</v>
      </c>
      <c r="AI33" s="18"/>
      <c r="AJ33" s="19"/>
      <c r="AK33" s="19"/>
      <c r="AL33" s="29">
        <f>IF(AN31&gt;=AP37,AL32,AM31)</f>
        <v>2</v>
      </c>
      <c r="AM33" s="16"/>
      <c r="AN33" s="19"/>
      <c r="AO33" s="19">
        <f>AN31*AP33</f>
        <v>0.8000000000009422</v>
      </c>
      <c r="AP33" s="19">
        <v>8</v>
      </c>
      <c r="AQ33" s="19">
        <f>ROUND(AO33,0)</f>
        <v>1</v>
      </c>
      <c r="AR33" s="4"/>
      <c r="AS33" s="19">
        <f>AQ33/2</f>
        <v>0.5</v>
      </c>
      <c r="AT33" s="16">
        <f>TRUNC(AS33)</f>
        <v>0</v>
      </c>
      <c r="AU33" s="20">
        <f>AS33-AT33</f>
        <v>0.5</v>
      </c>
    </row>
    <row r="34" spans="25:47" ht="13.5" thickBot="1">
      <c r="Y34" s="45"/>
      <c r="AC34" s="41">
        <f>$Y$25</f>
        <v>62.099999999999994</v>
      </c>
      <c r="AD34" s="42">
        <f>IF($AL$33=12,$AJ$31+1,$AJ$31)</f>
        <v>5</v>
      </c>
      <c r="AE34" s="35">
        <f>IF($AL$33=12,0,$AL$33)</f>
        <v>2</v>
      </c>
      <c r="AF34" s="36">
        <f>IF($AN$31&gt;=$AP$37,"",IF($AN$31&lt;$AP$38,"",$AR$37))</f>
        <v>3</v>
      </c>
      <c r="AG34" s="37">
        <f>IF($AN$31&gt;=$AP$37,"",IF($AN$31&lt;$AP$38,"",$AR$38))</f>
        <v>32</v>
      </c>
      <c r="AI34" s="9"/>
      <c r="AJ34" s="4"/>
      <c r="AK34" s="15"/>
      <c r="AL34" s="3"/>
      <c r="AM34" s="15"/>
      <c r="AN34" s="15"/>
      <c r="AO34" s="19">
        <f>AN31*AP34</f>
        <v>1.6000000000018844</v>
      </c>
      <c r="AP34" s="19">
        <v>16</v>
      </c>
      <c r="AQ34" s="19">
        <f>ROUND(AO34,0)</f>
        <v>2</v>
      </c>
      <c r="AR34" s="4"/>
      <c r="AS34" s="19">
        <f>AQ34/2</f>
        <v>1</v>
      </c>
      <c r="AT34" s="16">
        <f>TRUNC(AS34)</f>
        <v>1</v>
      </c>
      <c r="AU34" s="20">
        <f>AS34-AT34</f>
        <v>0</v>
      </c>
    </row>
    <row r="35" spans="25:47" ht="12.75">
      <c r="Y35" s="45"/>
      <c r="AE35" s="43" t="s">
        <v>29</v>
      </c>
      <c r="AF35" t="str">
        <f>IF($AF$34&lt;&gt;"",CONCATENATE($AD$34,"'"," – ",$AE$34,"  ",$AF$34,"/",$AG$34,"'"),CONCATENATE($AD$34,"'"," – ",$AE$34,"'"))</f>
        <v>5' – 2  3/32''</v>
      </c>
      <c r="AI35" s="9"/>
      <c r="AJ35" s="32" t="s">
        <v>77</v>
      </c>
      <c r="AK35" s="24"/>
      <c r="AL35" s="24"/>
      <c r="AM35" s="24"/>
      <c r="AN35" s="15"/>
      <c r="AO35" s="19">
        <f>AN31*AP35</f>
        <v>3.2000000000037687</v>
      </c>
      <c r="AP35" s="19">
        <v>32</v>
      </c>
      <c r="AQ35" s="19">
        <f>ROUND(AO35,0)</f>
        <v>3</v>
      </c>
      <c r="AR35" s="4"/>
      <c r="AS35" s="19">
        <f>AQ35/2</f>
        <v>1.5</v>
      </c>
      <c r="AT35" s="16">
        <f>TRUNC(AS35)</f>
        <v>1</v>
      </c>
      <c r="AU35" s="20">
        <f>AS35-AT35</f>
        <v>0.5</v>
      </c>
    </row>
    <row r="36" spans="25:47" ht="12.75">
      <c r="Y36" s="45"/>
      <c r="AI36" s="9"/>
      <c r="AJ36" s="26"/>
      <c r="AK36" s="25"/>
      <c r="AL36" s="25"/>
      <c r="AM36" s="25"/>
      <c r="AN36" s="19"/>
      <c r="AO36" s="4"/>
      <c r="AP36" s="4"/>
      <c r="AQ36" s="4"/>
      <c r="AR36" s="4"/>
      <c r="AS36" s="4"/>
      <c r="AT36" s="4"/>
      <c r="AU36" s="8"/>
    </row>
    <row r="37" spans="25:47" ht="13.5" thickBot="1">
      <c r="Y37" s="45"/>
      <c r="AI37" s="9"/>
      <c r="AJ37" s="4"/>
      <c r="AK37" s="19"/>
      <c r="AL37" s="19"/>
      <c r="AM37" s="4"/>
      <c r="AN37" s="19"/>
      <c r="AO37" s="21" t="s">
        <v>14</v>
      </c>
      <c r="AP37" s="14">
        <v>0.984375</v>
      </c>
      <c r="AQ37" s="4"/>
      <c r="AR37" s="30">
        <f>IF(AU35&gt;0,AQ35,IF(AU34&gt;0,AQ34,IF(AU33&gt;0,AQ33,IF(AU32&gt;0,AQ32,AQ31))))</f>
        <v>3</v>
      </c>
      <c r="AS37" s="4" t="s">
        <v>12</v>
      </c>
      <c r="AT37" s="4"/>
      <c r="AU37" s="8"/>
    </row>
    <row r="38" spans="25:47" ht="14.25" thickBot="1" thickTop="1">
      <c r="Y38" s="45"/>
      <c r="AI38" s="13"/>
      <c r="AJ38" s="10"/>
      <c r="AK38" s="10"/>
      <c r="AL38" s="10"/>
      <c r="AM38" s="10"/>
      <c r="AN38" s="10"/>
      <c r="AO38" s="22" t="s">
        <v>15</v>
      </c>
      <c r="AP38" s="27">
        <v>0.015625</v>
      </c>
      <c r="AQ38" s="10"/>
      <c r="AR38" s="31">
        <f>IF(AU35&gt;0,AP35,IF(AU34&gt;0,AP34,IF(AU33&gt;0,AP33,IF(AU32&gt;0,AP32,AP31))))</f>
        <v>32</v>
      </c>
      <c r="AS38" s="10" t="s">
        <v>13</v>
      </c>
      <c r="AT38" s="10"/>
      <c r="AU38" s="11"/>
    </row>
    <row r="39" ht="12.75">
      <c r="Y39" s="45"/>
    </row>
    <row r="40" ht="13.5" thickBot="1">
      <c r="Y40" s="45"/>
    </row>
    <row r="41" spans="25:47" ht="12.75" customHeight="1">
      <c r="Y41" s="45"/>
      <c r="AI41" s="5"/>
      <c r="AJ41" s="6"/>
      <c r="AK41" s="6"/>
      <c r="AL41" s="6"/>
      <c r="AM41" s="6"/>
      <c r="AN41" s="6"/>
      <c r="AO41" s="17" t="s">
        <v>1</v>
      </c>
      <c r="AP41" s="6"/>
      <c r="AQ41" s="6"/>
      <c r="AR41" s="6"/>
      <c r="AS41" s="6"/>
      <c r="AT41" s="6" t="s">
        <v>16</v>
      </c>
      <c r="AU41" s="7"/>
    </row>
    <row r="42" spans="25:47" ht="12.75" customHeight="1">
      <c r="Y42" s="45"/>
      <c r="AI42" s="18" t="s">
        <v>5</v>
      </c>
      <c r="AJ42" s="19" t="s">
        <v>6</v>
      </c>
      <c r="AK42" s="19" t="s">
        <v>9</v>
      </c>
      <c r="AL42" s="19" t="s">
        <v>8</v>
      </c>
      <c r="AM42" s="19" t="s">
        <v>7</v>
      </c>
      <c r="AN42" s="19" t="s">
        <v>10</v>
      </c>
      <c r="AO42" s="19" t="s">
        <v>2</v>
      </c>
      <c r="AP42" s="19" t="s">
        <v>0</v>
      </c>
      <c r="AQ42" s="19" t="s">
        <v>3</v>
      </c>
      <c r="AR42" s="4"/>
      <c r="AS42" s="19" t="s">
        <v>4</v>
      </c>
      <c r="AT42" s="19" t="s">
        <v>68</v>
      </c>
      <c r="AU42" s="20" t="s">
        <v>11</v>
      </c>
    </row>
    <row r="43" spans="25:47" ht="12.75" customHeight="1">
      <c r="Y43" s="45"/>
      <c r="AI43" s="23">
        <f>$AC$46/12</f>
        <v>5.175000000000001</v>
      </c>
      <c r="AJ43" s="28">
        <f>TRUNC(AI43)</f>
        <v>5</v>
      </c>
      <c r="AK43" s="19">
        <f>AI43-AJ43</f>
        <v>0.1750000000000007</v>
      </c>
      <c r="AL43" s="19">
        <f>(AK43+0.00000000000001)*12</f>
        <v>2.1000000000001284</v>
      </c>
      <c r="AM43" s="12">
        <f>TRUNC(AL43)</f>
        <v>2</v>
      </c>
      <c r="AN43" s="28">
        <f>AL43-AM43</f>
        <v>0.10000000000012843</v>
      </c>
      <c r="AO43" s="19">
        <f>AN43*AP43</f>
        <v>0.20000000000025686</v>
      </c>
      <c r="AP43" s="19">
        <v>2</v>
      </c>
      <c r="AQ43" s="19">
        <f>ROUND(AO43,0)</f>
        <v>0</v>
      </c>
      <c r="AR43" s="4"/>
      <c r="AS43" s="19">
        <f>AQ43/2</f>
        <v>0</v>
      </c>
      <c r="AT43" s="16">
        <f>TRUNC(AS43)</f>
        <v>0</v>
      </c>
      <c r="AU43" s="20">
        <f>AS43-AT43</f>
        <v>0</v>
      </c>
    </row>
    <row r="44" spans="25:47" ht="12.75" customHeight="1" thickBot="1">
      <c r="Y44" s="45"/>
      <c r="AC44" s="34"/>
      <c r="AD44" s="29"/>
      <c r="AE44" s="16" t="s">
        <v>32</v>
      </c>
      <c r="AG44" s="33"/>
      <c r="AI44" s="18"/>
      <c r="AJ44" s="19"/>
      <c r="AK44" s="19"/>
      <c r="AL44" s="19">
        <f>ROUND(AL43,0)</f>
        <v>2</v>
      </c>
      <c r="AM44" s="19"/>
      <c r="AN44" s="19"/>
      <c r="AO44" s="19">
        <f>AN43*AP44</f>
        <v>0.4000000000005137</v>
      </c>
      <c r="AP44" s="19">
        <v>4</v>
      </c>
      <c r="AQ44" s="19">
        <f>ROUND(AO44,0)</f>
        <v>0</v>
      </c>
      <c r="AR44" s="4"/>
      <c r="AS44" s="19">
        <f>AQ44/2</f>
        <v>0</v>
      </c>
      <c r="AT44" s="16">
        <f>TRUNC(AS44)</f>
        <v>0</v>
      </c>
      <c r="AU44" s="20">
        <f>AS44-AT44</f>
        <v>0</v>
      </c>
    </row>
    <row r="45" spans="25:47" ht="12.75">
      <c r="Y45" s="45"/>
      <c r="AC45" s="40" t="s">
        <v>17</v>
      </c>
      <c r="AD45" s="38" t="s">
        <v>19</v>
      </c>
      <c r="AE45" s="17" t="s">
        <v>18</v>
      </c>
      <c r="AF45" s="17" t="s">
        <v>24</v>
      </c>
      <c r="AG45" s="39" t="s">
        <v>25</v>
      </c>
      <c r="AI45" s="18"/>
      <c r="AJ45" s="19"/>
      <c r="AK45" s="19"/>
      <c r="AL45" s="29">
        <f>IF(AN43&gt;=AP49,AL44,AM43)</f>
        <v>2</v>
      </c>
      <c r="AM45" s="16"/>
      <c r="AN45" s="19"/>
      <c r="AO45" s="19">
        <f>AN43*AP45</f>
        <v>0.8000000000010274</v>
      </c>
      <c r="AP45" s="19">
        <v>8</v>
      </c>
      <c r="AQ45" s="19">
        <f>ROUND(AO45,0)</f>
        <v>1</v>
      </c>
      <c r="AR45" s="4"/>
      <c r="AS45" s="19">
        <f>AQ45/2</f>
        <v>0.5</v>
      </c>
      <c r="AT45" s="16">
        <f>TRUNC(AS45)</f>
        <v>0</v>
      </c>
      <c r="AU45" s="20">
        <f>AS45-AT45</f>
        <v>0.5</v>
      </c>
    </row>
    <row r="46" spans="25:47" ht="13.5" thickBot="1">
      <c r="Y46" s="45"/>
      <c r="AC46" s="41">
        <f>$Y$26</f>
        <v>62.10000000000001</v>
      </c>
      <c r="AD46" s="42">
        <f>IF($AL$45=12,$AJ$43+1,$AJ$43)</f>
        <v>5</v>
      </c>
      <c r="AE46" s="35">
        <f>IF($AL$45=12,0,$AL$45)</f>
        <v>2</v>
      </c>
      <c r="AF46" s="36">
        <f>IF($AN$43&gt;=$AP$49,"",IF($AN$43&lt;$AP$50,"",$AR$49))</f>
        <v>3</v>
      </c>
      <c r="AG46" s="37">
        <f>IF($AN$43&gt;=$AP$49,"",IF($AN$43&lt;$AP$50,"",$AR$50))</f>
        <v>32</v>
      </c>
      <c r="AI46" s="9"/>
      <c r="AJ46" s="4"/>
      <c r="AK46" s="15"/>
      <c r="AL46" s="3"/>
      <c r="AM46" s="15"/>
      <c r="AN46" s="15"/>
      <c r="AO46" s="19">
        <f>AN43*AP46</f>
        <v>1.600000000002055</v>
      </c>
      <c r="AP46" s="19">
        <v>16</v>
      </c>
      <c r="AQ46" s="19">
        <f>ROUND(AO46,0)</f>
        <v>2</v>
      </c>
      <c r="AR46" s="4"/>
      <c r="AS46" s="19">
        <f>AQ46/2</f>
        <v>1</v>
      </c>
      <c r="AT46" s="16">
        <f>TRUNC(AS46)</f>
        <v>1</v>
      </c>
      <c r="AU46" s="20">
        <f>AS46-AT46</f>
        <v>0</v>
      </c>
    </row>
    <row r="47" spans="25:47" ht="12.75">
      <c r="Y47" s="45"/>
      <c r="AE47" s="43" t="s">
        <v>29</v>
      </c>
      <c r="AF47" t="str">
        <f>IF($AF$46&lt;&gt;"",CONCATENATE($AD$46,"'"," – ",$AE$46,"  ",$AF$46,"/",$AG$46,"'"),CONCATENATE($AD$46,"'"," – ",$AE$46,"'"))</f>
        <v>5' – 2  3/32''</v>
      </c>
      <c r="AI47" s="9"/>
      <c r="AJ47" s="32" t="s">
        <v>33</v>
      </c>
      <c r="AK47" s="24"/>
      <c r="AL47" s="24"/>
      <c r="AM47" s="24"/>
      <c r="AN47" s="15"/>
      <c r="AO47" s="19">
        <f>AN43*AP47</f>
        <v>3.20000000000411</v>
      </c>
      <c r="AP47" s="19">
        <v>32</v>
      </c>
      <c r="AQ47" s="19">
        <f>ROUND(AO47,0)</f>
        <v>3</v>
      </c>
      <c r="AR47" s="4"/>
      <c r="AS47" s="19">
        <f>AQ47/2</f>
        <v>1.5</v>
      </c>
      <c r="AT47" s="16">
        <f>TRUNC(AS47)</f>
        <v>1</v>
      </c>
      <c r="AU47" s="20">
        <f>AS47-AT47</f>
        <v>0.5</v>
      </c>
    </row>
    <row r="48" spans="25:47" ht="12.75">
      <c r="Y48" s="45"/>
      <c r="Z48" s="45"/>
      <c r="AI48" s="9"/>
      <c r="AJ48" s="26"/>
      <c r="AK48" s="25"/>
      <c r="AL48" s="25"/>
      <c r="AM48" s="25"/>
      <c r="AN48" s="19"/>
      <c r="AO48" s="4"/>
      <c r="AP48" s="4"/>
      <c r="AQ48" s="4"/>
      <c r="AR48" s="4"/>
      <c r="AS48" s="4"/>
      <c r="AT48" s="4"/>
      <c r="AU48" s="8"/>
    </row>
    <row r="49" spans="25:47" ht="13.5" thickBot="1">
      <c r="Y49" s="45"/>
      <c r="Z49" s="45"/>
      <c r="AI49" s="9"/>
      <c r="AJ49" s="4"/>
      <c r="AK49" s="19"/>
      <c r="AL49" s="19"/>
      <c r="AM49" s="4"/>
      <c r="AN49" s="19"/>
      <c r="AO49" s="21" t="s">
        <v>14</v>
      </c>
      <c r="AP49" s="14">
        <v>0.984375</v>
      </c>
      <c r="AQ49" s="4"/>
      <c r="AR49" s="30">
        <f>IF(AU47&gt;0,AQ47,IF(AU46&gt;0,AQ46,IF(AU45&gt;0,AQ45,IF(AU44&gt;0,AQ44,AQ43))))</f>
        <v>3</v>
      </c>
      <c r="AS49" s="4" t="s">
        <v>12</v>
      </c>
      <c r="AT49" s="4"/>
      <c r="AU49" s="8"/>
    </row>
    <row r="50" spans="25:47" ht="14.25" thickBot="1" thickTop="1">
      <c r="Y50" s="45"/>
      <c r="Z50" s="45"/>
      <c r="AI50" s="13"/>
      <c r="AJ50" s="10"/>
      <c r="AK50" s="10"/>
      <c r="AL50" s="10"/>
      <c r="AM50" s="10"/>
      <c r="AN50" s="10"/>
      <c r="AO50" s="22" t="s">
        <v>15</v>
      </c>
      <c r="AP50" s="27">
        <v>0.015625</v>
      </c>
      <c r="AQ50" s="10"/>
      <c r="AR50" s="31">
        <f>IF(AU47&gt;0,AP47,IF(AU46&gt;0,AP46,IF(AU45&gt;0,AP45,IF(AU44&gt;0,AP44,AP43))))</f>
        <v>32</v>
      </c>
      <c r="AS50" s="10" t="s">
        <v>13</v>
      </c>
      <c r="AT50" s="10"/>
      <c r="AU50" s="11"/>
    </row>
    <row r="51" spans="25:26" ht="12.75">
      <c r="Y51" s="45"/>
      <c r="Z51" s="45"/>
    </row>
    <row r="52" spans="25:26" ht="13.5" thickBot="1">
      <c r="Y52" s="45"/>
      <c r="Z52" s="45"/>
    </row>
    <row r="53" spans="25:47" ht="12.75">
      <c r="Y53" s="45"/>
      <c r="Z53" s="45"/>
      <c r="AA53" s="45"/>
      <c r="AI53" s="5"/>
      <c r="AJ53" s="6"/>
      <c r="AK53" s="6"/>
      <c r="AL53" s="6"/>
      <c r="AM53" s="6"/>
      <c r="AN53" s="6"/>
      <c r="AO53" s="17" t="s">
        <v>1</v>
      </c>
      <c r="AP53" s="6"/>
      <c r="AQ53" s="6"/>
      <c r="AR53" s="6"/>
      <c r="AS53" s="6"/>
      <c r="AT53" s="6" t="s">
        <v>16</v>
      </c>
      <c r="AU53" s="7"/>
    </row>
    <row r="54" spans="25:47" ht="12.75">
      <c r="Y54" s="45"/>
      <c r="Z54" s="45"/>
      <c r="AA54" s="45"/>
      <c r="AI54" s="18" t="s">
        <v>5</v>
      </c>
      <c r="AJ54" s="19" t="s">
        <v>6</v>
      </c>
      <c r="AK54" s="19" t="s">
        <v>9</v>
      </c>
      <c r="AL54" s="19" t="s">
        <v>8</v>
      </c>
      <c r="AM54" s="19" t="s">
        <v>7</v>
      </c>
      <c r="AN54" s="19" t="s">
        <v>10</v>
      </c>
      <c r="AO54" s="19" t="s">
        <v>2</v>
      </c>
      <c r="AP54" s="19" t="s">
        <v>0</v>
      </c>
      <c r="AQ54" s="19" t="s">
        <v>3</v>
      </c>
      <c r="AR54" s="4"/>
      <c r="AS54" s="19" t="s">
        <v>4</v>
      </c>
      <c r="AT54" s="19" t="s">
        <v>68</v>
      </c>
      <c r="AU54" s="20" t="s">
        <v>11</v>
      </c>
    </row>
    <row r="55" spans="25:47" ht="12.75">
      <c r="Y55" s="45"/>
      <c r="Z55" s="45"/>
      <c r="AA55" s="45"/>
      <c r="AI55" s="23">
        <f>$AC$58/12</f>
        <v>6.736340345469491</v>
      </c>
      <c r="AJ55" s="28">
        <f>TRUNC(AI55)</f>
        <v>6</v>
      </c>
      <c r="AK55" s="19">
        <f>AI55-AJ55</f>
        <v>0.7363403454694906</v>
      </c>
      <c r="AL55" s="19">
        <f>(AK55+0.00000000000001)*12</f>
        <v>8.836084145634008</v>
      </c>
      <c r="AM55" s="12">
        <f>TRUNC(AL55)</f>
        <v>8</v>
      </c>
      <c r="AN55" s="28">
        <f>AL55-AM55</f>
        <v>0.8360841456340076</v>
      </c>
      <c r="AO55" s="19">
        <f>AN55*AP55</f>
        <v>1.6721682912680151</v>
      </c>
      <c r="AP55" s="19">
        <v>2</v>
      </c>
      <c r="AQ55" s="19">
        <f>ROUND(AO55,0)</f>
        <v>2</v>
      </c>
      <c r="AR55" s="4"/>
      <c r="AS55" s="19">
        <f>AQ55/2</f>
        <v>1</v>
      </c>
      <c r="AT55" s="16">
        <f>TRUNC(AS55)</f>
        <v>1</v>
      </c>
      <c r="AU55" s="20">
        <f>AS55-AT55</f>
        <v>0</v>
      </c>
    </row>
    <row r="56" spans="25:47" ht="13.5" thickBot="1">
      <c r="Y56" s="45"/>
      <c r="Z56" s="45"/>
      <c r="AA56" s="45"/>
      <c r="AC56" s="34"/>
      <c r="AD56" s="29"/>
      <c r="AE56" s="16" t="s">
        <v>34</v>
      </c>
      <c r="AG56" s="33"/>
      <c r="AI56" s="18"/>
      <c r="AJ56" s="19"/>
      <c r="AK56" s="19"/>
      <c r="AL56" s="19">
        <f>ROUND(AL55,0)</f>
        <v>9</v>
      </c>
      <c r="AM56" s="19"/>
      <c r="AN56" s="19"/>
      <c r="AO56" s="19">
        <f>AN55*AP56</f>
        <v>3.3443365825360303</v>
      </c>
      <c r="AP56" s="19">
        <v>4</v>
      </c>
      <c r="AQ56" s="19">
        <f>ROUND(AO56,0)</f>
        <v>3</v>
      </c>
      <c r="AR56" s="4"/>
      <c r="AS56" s="19">
        <f>AQ56/2</f>
        <v>1.5</v>
      </c>
      <c r="AT56" s="16">
        <f>TRUNC(AS56)</f>
        <v>1</v>
      </c>
      <c r="AU56" s="20">
        <f>AS56-AT56</f>
        <v>0.5</v>
      </c>
    </row>
    <row r="57" spans="25:47" ht="12.75">
      <c r="Y57" s="45"/>
      <c r="Z57" s="45"/>
      <c r="AA57" s="45"/>
      <c r="AC57" s="40" t="s">
        <v>17</v>
      </c>
      <c r="AD57" s="38" t="s">
        <v>19</v>
      </c>
      <c r="AE57" s="17" t="s">
        <v>18</v>
      </c>
      <c r="AF57" s="17" t="s">
        <v>24</v>
      </c>
      <c r="AG57" s="39" t="s">
        <v>25</v>
      </c>
      <c r="AI57" s="18"/>
      <c r="AJ57" s="19"/>
      <c r="AK57" s="19"/>
      <c r="AL57" s="29">
        <f>IF(AN55&gt;=AP61,AL56,AM55)</f>
        <v>8</v>
      </c>
      <c r="AM57" s="16"/>
      <c r="AN57" s="19"/>
      <c r="AO57" s="19">
        <f>AN55*AP57</f>
        <v>6.6886731650720606</v>
      </c>
      <c r="AP57" s="19">
        <v>8</v>
      </c>
      <c r="AQ57" s="19">
        <f>ROUND(AO57,0)</f>
        <v>7</v>
      </c>
      <c r="AR57" s="4"/>
      <c r="AS57" s="19">
        <f>AQ57/2</f>
        <v>3.5</v>
      </c>
      <c r="AT57" s="16">
        <f>TRUNC(AS57)</f>
        <v>3</v>
      </c>
      <c r="AU57" s="20">
        <f>AS57-AT57</f>
        <v>0.5</v>
      </c>
    </row>
    <row r="58" spans="29:47" ht="13.5" thickBot="1">
      <c r="AC58" s="41">
        <f>$Y$27</f>
        <v>80.83608414563389</v>
      </c>
      <c r="AD58" s="42">
        <f>IF($AL$57=12,$AJ$55+1,$AJ$55)</f>
        <v>6</v>
      </c>
      <c r="AE58" s="35">
        <f>IF($AL$57=12,0,$AL$57)</f>
        <v>8</v>
      </c>
      <c r="AF58" s="36">
        <f>IF($AN$55&gt;=$AP$61,"",IF($AN$55&lt;$AP$62,"",$AR$61))</f>
        <v>27</v>
      </c>
      <c r="AG58" s="37">
        <f>IF($AN$55&gt;=$AP$61,"",IF($AN$55&lt;$AP$62,"",$AR$62))</f>
        <v>32</v>
      </c>
      <c r="AI58" s="9"/>
      <c r="AJ58" s="4"/>
      <c r="AK58" s="15"/>
      <c r="AL58" s="3"/>
      <c r="AM58" s="15"/>
      <c r="AN58" s="15"/>
      <c r="AO58" s="19">
        <f>AN55*AP58</f>
        <v>13.377346330144121</v>
      </c>
      <c r="AP58" s="19">
        <v>16</v>
      </c>
      <c r="AQ58" s="19">
        <f>ROUND(AO58,0)</f>
        <v>13</v>
      </c>
      <c r="AR58" s="4"/>
      <c r="AS58" s="19">
        <f>AQ58/2</f>
        <v>6.5</v>
      </c>
      <c r="AT58" s="16">
        <f>TRUNC(AS58)</f>
        <v>6</v>
      </c>
      <c r="AU58" s="20">
        <f>AS58-AT58</f>
        <v>0.5</v>
      </c>
    </row>
    <row r="59" spans="31:47" ht="12.75">
      <c r="AE59" s="43" t="s">
        <v>29</v>
      </c>
      <c r="AF59" t="str">
        <f>IF($AF$58&lt;&gt;"",CONCATENATE($AD$58,"'"," – ",$AE$58,"  ",$AF$58,"/",$AG$58,"'"),CONCATENATE($AD$58,"'"," – ",$AE$58,"'"))</f>
        <v>6' – 8  27/32''</v>
      </c>
      <c r="AI59" s="9"/>
      <c r="AJ59" s="32" t="s">
        <v>35</v>
      </c>
      <c r="AK59" s="24"/>
      <c r="AL59" s="24"/>
      <c r="AM59" s="24"/>
      <c r="AN59" s="15"/>
      <c r="AO59" s="19">
        <f>AN55*AP59</f>
        <v>26.754692660288242</v>
      </c>
      <c r="AP59" s="19">
        <v>32</v>
      </c>
      <c r="AQ59" s="19">
        <f>ROUND(AO59,0)</f>
        <v>27</v>
      </c>
      <c r="AR59" s="4"/>
      <c r="AS59" s="19">
        <f>AQ59/2</f>
        <v>13.5</v>
      </c>
      <c r="AT59" s="16">
        <f>TRUNC(AS59)</f>
        <v>13</v>
      </c>
      <c r="AU59" s="20">
        <f>AS59-AT59</f>
        <v>0.5</v>
      </c>
    </row>
    <row r="60" spans="35:47" ht="12.75">
      <c r="AI60" s="9"/>
      <c r="AJ60" s="26"/>
      <c r="AK60" s="25"/>
      <c r="AL60" s="25"/>
      <c r="AM60" s="25"/>
      <c r="AN60" s="19"/>
      <c r="AO60" s="4"/>
      <c r="AP60" s="4"/>
      <c r="AQ60" s="4"/>
      <c r="AR60" s="4"/>
      <c r="AS60" s="4"/>
      <c r="AT60" s="4"/>
      <c r="AU60" s="8"/>
    </row>
    <row r="61" spans="35:47" ht="13.5" thickBot="1">
      <c r="AI61" s="9"/>
      <c r="AJ61" s="4"/>
      <c r="AK61" s="19"/>
      <c r="AL61" s="19"/>
      <c r="AM61" s="4"/>
      <c r="AN61" s="19"/>
      <c r="AO61" s="21" t="s">
        <v>14</v>
      </c>
      <c r="AP61" s="14">
        <v>0.984375</v>
      </c>
      <c r="AQ61" s="4"/>
      <c r="AR61" s="30">
        <f>IF(AU59&gt;0,AQ59,IF(AU58&gt;0,AQ58,IF(AU57&gt;0,AQ57,IF(AU56&gt;0,AQ56,AQ55))))</f>
        <v>27</v>
      </c>
      <c r="AS61" s="4" t="s">
        <v>12</v>
      </c>
      <c r="AT61" s="4"/>
      <c r="AU61" s="8"/>
    </row>
    <row r="62" spans="35:47" ht="14.25" thickBot="1" thickTop="1">
      <c r="AI62" s="13"/>
      <c r="AJ62" s="10"/>
      <c r="AK62" s="10"/>
      <c r="AL62" s="10"/>
      <c r="AM62" s="10"/>
      <c r="AN62" s="10"/>
      <c r="AO62" s="22" t="s">
        <v>15</v>
      </c>
      <c r="AP62" s="27">
        <v>0.015625</v>
      </c>
      <c r="AQ62" s="10"/>
      <c r="AR62" s="31">
        <f>IF(AU59&gt;0,AP59,IF(AU58&gt;0,AP58,IF(AU57&gt;0,AP57,IF(AU56&gt;0,AP56,AP55))))</f>
        <v>32</v>
      </c>
      <c r="AS62" s="10" t="s">
        <v>13</v>
      </c>
      <c r="AT62" s="10"/>
      <c r="AU62" s="11"/>
    </row>
    <row r="64" ht="13.5" thickBot="1"/>
    <row r="65" spans="35:47" ht="12.75">
      <c r="AI65" s="5"/>
      <c r="AJ65" s="6"/>
      <c r="AK65" s="6"/>
      <c r="AL65" s="6"/>
      <c r="AM65" s="6"/>
      <c r="AN65" s="6"/>
      <c r="AO65" s="17" t="s">
        <v>1</v>
      </c>
      <c r="AP65" s="6"/>
      <c r="AQ65" s="6"/>
      <c r="AR65" s="6"/>
      <c r="AS65" s="6"/>
      <c r="AT65" s="6" t="s">
        <v>16</v>
      </c>
      <c r="AU65" s="7"/>
    </row>
    <row r="66" spans="35:47" ht="12.75">
      <c r="AI66" s="18" t="s">
        <v>5</v>
      </c>
      <c r="AJ66" s="19" t="s">
        <v>6</v>
      </c>
      <c r="AK66" s="19" t="s">
        <v>9</v>
      </c>
      <c r="AL66" s="19" t="s">
        <v>8</v>
      </c>
      <c r="AM66" s="19" t="s">
        <v>7</v>
      </c>
      <c r="AN66" s="19" t="s">
        <v>10</v>
      </c>
      <c r="AO66" s="19" t="s">
        <v>2</v>
      </c>
      <c r="AP66" s="19" t="s">
        <v>0</v>
      </c>
      <c r="AQ66" s="19" t="s">
        <v>3</v>
      </c>
      <c r="AR66" s="4"/>
      <c r="AS66" s="19" t="s">
        <v>4</v>
      </c>
      <c r="AT66" s="19" t="s">
        <v>68</v>
      </c>
      <c r="AU66" s="20" t="s">
        <v>11</v>
      </c>
    </row>
    <row r="67" spans="35:47" ht="12.75">
      <c r="AI67" s="23">
        <f>$AC$70/12</f>
        <v>8.625</v>
      </c>
      <c r="AJ67" s="28">
        <f>TRUNC(AI67)</f>
        <v>8</v>
      </c>
      <c r="AK67" s="19">
        <f>AI67-AJ67</f>
        <v>0.625</v>
      </c>
      <c r="AL67" s="19">
        <f>(AK67+0.00000000000001)*12</f>
        <v>7.50000000000012</v>
      </c>
      <c r="AM67" s="12">
        <f>TRUNC(AL67)</f>
        <v>7</v>
      </c>
      <c r="AN67" s="28">
        <f>AL67-AM67</f>
        <v>0.5000000000001199</v>
      </c>
      <c r="AO67" s="19">
        <f>AN67*AP67</f>
        <v>1.0000000000002398</v>
      </c>
      <c r="AP67" s="19">
        <v>2</v>
      </c>
      <c r="AQ67" s="19">
        <f>ROUND(AO67,0)</f>
        <v>1</v>
      </c>
      <c r="AR67" s="4"/>
      <c r="AS67" s="19">
        <f>AQ67/2</f>
        <v>0.5</v>
      </c>
      <c r="AT67" s="16">
        <f>TRUNC(AS67)</f>
        <v>0</v>
      </c>
      <c r="AU67" s="20">
        <f>AS67-AT67</f>
        <v>0.5</v>
      </c>
    </row>
    <row r="68" spans="29:47" ht="13.5" thickBot="1">
      <c r="AC68" s="34"/>
      <c r="AD68" s="29"/>
      <c r="AE68" s="16" t="s">
        <v>78</v>
      </c>
      <c r="AG68" s="33"/>
      <c r="AI68" s="18"/>
      <c r="AJ68" s="19"/>
      <c r="AK68" s="19"/>
      <c r="AL68" s="19">
        <f>ROUND(AL67,0)</f>
        <v>8</v>
      </c>
      <c r="AM68" s="19"/>
      <c r="AN68" s="19"/>
      <c r="AO68" s="19">
        <f>AN67*AP68</f>
        <v>2.0000000000004796</v>
      </c>
      <c r="AP68" s="19">
        <v>4</v>
      </c>
      <c r="AQ68" s="19">
        <f>ROUND(AO68,0)</f>
        <v>2</v>
      </c>
      <c r="AR68" s="4"/>
      <c r="AS68" s="19">
        <f>AQ68/2</f>
        <v>1</v>
      </c>
      <c r="AT68" s="16">
        <f>TRUNC(AS68)</f>
        <v>1</v>
      </c>
      <c r="AU68" s="20">
        <f>AS68-AT68</f>
        <v>0</v>
      </c>
    </row>
    <row r="69" spans="29:47" ht="12.75">
      <c r="AC69" s="40" t="s">
        <v>17</v>
      </c>
      <c r="AD69" s="38" t="s">
        <v>19</v>
      </c>
      <c r="AE69" s="17" t="s">
        <v>18</v>
      </c>
      <c r="AF69" s="17" t="s">
        <v>24</v>
      </c>
      <c r="AG69" s="39" t="s">
        <v>25</v>
      </c>
      <c r="AI69" s="18"/>
      <c r="AJ69" s="19"/>
      <c r="AK69" s="19"/>
      <c r="AL69" s="29">
        <f>IF(AN67&gt;=AP73,AL68,AM67)</f>
        <v>7</v>
      </c>
      <c r="AM69" s="16"/>
      <c r="AN69" s="19"/>
      <c r="AO69" s="19">
        <f>AN67*AP69</f>
        <v>4.000000000000959</v>
      </c>
      <c r="AP69" s="19">
        <v>8</v>
      </c>
      <c r="AQ69" s="19">
        <f>ROUND(AO69,0)</f>
        <v>4</v>
      </c>
      <c r="AR69" s="4"/>
      <c r="AS69" s="19">
        <f>AQ69/2</f>
        <v>2</v>
      </c>
      <c r="AT69" s="16">
        <f>TRUNC(AS69)</f>
        <v>2</v>
      </c>
      <c r="AU69" s="20">
        <f>AS69-AT69</f>
        <v>0</v>
      </c>
    </row>
    <row r="70" spans="29:47" ht="13.5" thickBot="1">
      <c r="AC70" s="41">
        <f>$Y$28</f>
        <v>103.5</v>
      </c>
      <c r="AD70" s="42">
        <f>IF($AL$69=12,$AJ$67+1,$AJ$67)</f>
        <v>8</v>
      </c>
      <c r="AE70" s="35">
        <f>IF($AL$69=12,0,$AL$69)</f>
        <v>7</v>
      </c>
      <c r="AF70" s="36">
        <f>IF($AN$67&gt;=$AP$73,"",IF($AN$67&lt;$AP$74,"",$AR$73))</f>
        <v>1</v>
      </c>
      <c r="AG70" s="37">
        <f>IF($AN$67&gt;=$AP$73,"",IF($AN$67&lt;$AP$74,"",$AR$74))</f>
        <v>2</v>
      </c>
      <c r="AI70" s="9"/>
      <c r="AJ70" s="4"/>
      <c r="AK70" s="15"/>
      <c r="AL70" s="3"/>
      <c r="AM70" s="15"/>
      <c r="AN70" s="15"/>
      <c r="AO70" s="19">
        <f>AN67*AP70</f>
        <v>8.000000000001918</v>
      </c>
      <c r="AP70" s="19">
        <v>16</v>
      </c>
      <c r="AQ70" s="19">
        <f>ROUND(AO70,0)</f>
        <v>8</v>
      </c>
      <c r="AR70" s="4"/>
      <c r="AS70" s="19">
        <f>AQ70/2</f>
        <v>4</v>
      </c>
      <c r="AT70" s="16">
        <f>TRUNC(AS70)</f>
        <v>4</v>
      </c>
      <c r="AU70" s="20">
        <f>AS70-AT70</f>
        <v>0</v>
      </c>
    </row>
    <row r="71" spans="31:47" ht="12.75">
      <c r="AE71" s="43" t="s">
        <v>29</v>
      </c>
      <c r="AF71" t="str">
        <f>IF($AF$70&lt;&gt;"",CONCATENATE($AD$70,"'"," – ",$AE$70,"  ",$AF$70,"/",$AG$70,"'"),CONCATENATE($AD$70,"'"," – ",$AE$70,"'"))</f>
        <v>8' – 7  1/2''</v>
      </c>
      <c r="AI71" s="9"/>
      <c r="AJ71" s="32" t="s">
        <v>79</v>
      </c>
      <c r="AK71" s="24"/>
      <c r="AL71" s="24"/>
      <c r="AM71" s="24"/>
      <c r="AN71" s="15"/>
      <c r="AO71" s="19">
        <f>AN67*AP71</f>
        <v>16.000000000003837</v>
      </c>
      <c r="AP71" s="19">
        <v>32</v>
      </c>
      <c r="AQ71" s="19">
        <f>ROUND(AO71,0)</f>
        <v>16</v>
      </c>
      <c r="AR71" s="4"/>
      <c r="AS71" s="19">
        <f>AQ71/2</f>
        <v>8</v>
      </c>
      <c r="AT71" s="16">
        <f>TRUNC(AS71)</f>
        <v>8</v>
      </c>
      <c r="AU71" s="20">
        <f>AS71-AT71</f>
        <v>0</v>
      </c>
    </row>
    <row r="72" spans="35:47" ht="12.75">
      <c r="AI72" s="9"/>
      <c r="AJ72" s="26"/>
      <c r="AK72" s="25"/>
      <c r="AL72" s="25"/>
      <c r="AM72" s="25"/>
      <c r="AN72" s="19"/>
      <c r="AO72" s="4"/>
      <c r="AP72" s="4"/>
      <c r="AQ72" s="4"/>
      <c r="AR72" s="4"/>
      <c r="AS72" s="4"/>
      <c r="AT72" s="4"/>
      <c r="AU72" s="8"/>
    </row>
    <row r="73" spans="35:47" ht="13.5" thickBot="1">
      <c r="AI73" s="9"/>
      <c r="AJ73" s="4"/>
      <c r="AK73" s="19"/>
      <c r="AL73" s="19"/>
      <c r="AM73" s="4"/>
      <c r="AN73" s="19"/>
      <c r="AO73" s="21" t="s">
        <v>14</v>
      </c>
      <c r="AP73" s="14">
        <v>0.984375</v>
      </c>
      <c r="AQ73" s="4"/>
      <c r="AR73" s="30">
        <f>IF(AU71&gt;0,AQ71,IF(AU70&gt;0,AQ70,IF(AU69&gt;0,AQ69,IF(AU68&gt;0,AQ68,AQ67))))</f>
        <v>1</v>
      </c>
      <c r="AS73" s="4" t="s">
        <v>12</v>
      </c>
      <c r="AT73" s="4"/>
      <c r="AU73" s="8"/>
    </row>
    <row r="74" spans="35:47" ht="14.25" thickBot="1" thickTop="1">
      <c r="AI74" s="13"/>
      <c r="AJ74" s="10"/>
      <c r="AK74" s="10"/>
      <c r="AL74" s="10"/>
      <c r="AM74" s="10"/>
      <c r="AN74" s="10"/>
      <c r="AO74" s="22" t="s">
        <v>15</v>
      </c>
      <c r="AP74" s="27">
        <v>0.015625</v>
      </c>
      <c r="AQ74" s="10"/>
      <c r="AR74" s="31">
        <f>IF(AU71&gt;0,AP71,IF(AU70&gt;0,AP70,IF(AU69&gt;0,AP69,IF(AU68&gt;0,AP68,AP67))))</f>
        <v>2</v>
      </c>
      <c r="AS74" s="10" t="s">
        <v>13</v>
      </c>
      <c r="AT74" s="10"/>
      <c r="AU74" s="11"/>
    </row>
    <row r="76" ht="13.5" thickBot="1"/>
    <row r="77" spans="35:47" ht="12.75">
      <c r="AI77" s="5"/>
      <c r="AJ77" s="6"/>
      <c r="AK77" s="6"/>
      <c r="AL77" s="6"/>
      <c r="AM77" s="6"/>
      <c r="AN77" s="6"/>
      <c r="AO77" s="17" t="s">
        <v>1</v>
      </c>
      <c r="AP77" s="6"/>
      <c r="AQ77" s="6"/>
      <c r="AR77" s="6"/>
      <c r="AS77" s="6"/>
      <c r="AT77" s="6" t="s">
        <v>16</v>
      </c>
      <c r="AU77" s="7"/>
    </row>
    <row r="78" spans="35:47" ht="12.75">
      <c r="AI78" s="18" t="s">
        <v>5</v>
      </c>
      <c r="AJ78" s="19" t="s">
        <v>6</v>
      </c>
      <c r="AK78" s="19" t="s">
        <v>9</v>
      </c>
      <c r="AL78" s="19" t="s">
        <v>8</v>
      </c>
      <c r="AM78" s="19" t="s">
        <v>7</v>
      </c>
      <c r="AN78" s="19" t="s">
        <v>10</v>
      </c>
      <c r="AO78" s="19" t="s">
        <v>2</v>
      </c>
      <c r="AP78" s="19" t="s">
        <v>0</v>
      </c>
      <c r="AQ78" s="19" t="s">
        <v>3</v>
      </c>
      <c r="AR78" s="4"/>
      <c r="AS78" s="19" t="s">
        <v>4</v>
      </c>
      <c r="AT78" s="19" t="s">
        <v>68</v>
      </c>
      <c r="AU78" s="20" t="s">
        <v>11</v>
      </c>
    </row>
    <row r="79" spans="35:47" ht="12.75">
      <c r="AI79" s="23">
        <f>$AC$82/12</f>
        <v>10.058392018608144</v>
      </c>
      <c r="AJ79" s="28">
        <f>TRUNC(AI79)</f>
        <v>10</v>
      </c>
      <c r="AK79" s="19">
        <f>AI79-AJ79</f>
        <v>0.058392018608143914</v>
      </c>
      <c r="AL79" s="19">
        <f>(AK79+0.00000000000001)*12</f>
        <v>0.700704223297847</v>
      </c>
      <c r="AM79" s="12">
        <f>TRUNC(AL79)</f>
        <v>0</v>
      </c>
      <c r="AN79" s="28">
        <f>AL79-AM79</f>
        <v>0.700704223297847</v>
      </c>
      <c r="AO79" s="19">
        <f>AN79*AP79</f>
        <v>1.401408446595694</v>
      </c>
      <c r="AP79" s="19">
        <v>2</v>
      </c>
      <c r="AQ79" s="19">
        <f>ROUND(AO79,0)</f>
        <v>1</v>
      </c>
      <c r="AR79" s="4"/>
      <c r="AS79" s="19">
        <f>AQ79/2</f>
        <v>0.5</v>
      </c>
      <c r="AT79" s="16">
        <f>TRUNC(AS79)</f>
        <v>0</v>
      </c>
      <c r="AU79" s="20">
        <f>AS79-AT79</f>
        <v>0.5</v>
      </c>
    </row>
    <row r="80" spans="29:47" ht="13.5" thickBot="1">
      <c r="AC80" s="34"/>
      <c r="AD80" s="29"/>
      <c r="AE80" s="16" t="s">
        <v>50</v>
      </c>
      <c r="AG80" s="33"/>
      <c r="AI80" s="18"/>
      <c r="AJ80" s="19"/>
      <c r="AK80" s="19"/>
      <c r="AL80" s="19">
        <f>ROUND(AL79,0)</f>
        <v>1</v>
      </c>
      <c r="AM80" s="19"/>
      <c r="AN80" s="19"/>
      <c r="AO80" s="19">
        <f>AN79*AP80</f>
        <v>2.802816893191388</v>
      </c>
      <c r="AP80" s="19">
        <v>4</v>
      </c>
      <c r="AQ80" s="19">
        <f>ROUND(AO80,0)</f>
        <v>3</v>
      </c>
      <c r="AR80" s="4"/>
      <c r="AS80" s="19">
        <f>AQ80/2</f>
        <v>1.5</v>
      </c>
      <c r="AT80" s="16">
        <f>TRUNC(AS80)</f>
        <v>1</v>
      </c>
      <c r="AU80" s="20">
        <f>AS80-AT80</f>
        <v>0.5</v>
      </c>
    </row>
    <row r="81" spans="29:47" ht="12.75">
      <c r="AC81" s="40" t="s">
        <v>17</v>
      </c>
      <c r="AD81" s="38" t="s">
        <v>19</v>
      </c>
      <c r="AE81" s="17" t="s">
        <v>18</v>
      </c>
      <c r="AF81" s="17" t="s">
        <v>24</v>
      </c>
      <c r="AG81" s="39" t="s">
        <v>25</v>
      </c>
      <c r="AI81" s="18"/>
      <c r="AJ81" s="19"/>
      <c r="AK81" s="19"/>
      <c r="AL81" s="29">
        <f>IF(AN79&gt;=AP85,AL80,AM79)</f>
        <v>0</v>
      </c>
      <c r="AM81" s="16"/>
      <c r="AN81" s="19"/>
      <c r="AO81" s="19">
        <f>AN79*AP81</f>
        <v>5.605633786382776</v>
      </c>
      <c r="AP81" s="19">
        <v>8</v>
      </c>
      <c r="AQ81" s="19">
        <f>ROUND(AO81,0)</f>
        <v>6</v>
      </c>
      <c r="AR81" s="4"/>
      <c r="AS81" s="19">
        <f>AQ81/2</f>
        <v>3</v>
      </c>
      <c r="AT81" s="16">
        <f>TRUNC(AS81)</f>
        <v>3</v>
      </c>
      <c r="AU81" s="20">
        <f>AS81-AT81</f>
        <v>0</v>
      </c>
    </row>
    <row r="82" spans="29:47" ht="13.5" thickBot="1">
      <c r="AC82" s="41">
        <f>$Y$29</f>
        <v>120.70070422329772</v>
      </c>
      <c r="AD82" s="42">
        <f>IF($AL$81=12,$AJ$79+1,$AJ$79)</f>
        <v>10</v>
      </c>
      <c r="AE82" s="35">
        <f>IF($AL$81=12,0,$AL$81)</f>
        <v>0</v>
      </c>
      <c r="AF82" s="36">
        <f>IF($AN$79&gt;=$AP$85,"",IF($AN$79&lt;$AP$86,"",$AR$85))</f>
        <v>11</v>
      </c>
      <c r="AG82" s="37">
        <f>IF($AN$79&gt;=$AP$85,"",IF($AN$79&lt;$AP$86,"",$AR$86))</f>
        <v>16</v>
      </c>
      <c r="AI82" s="9"/>
      <c r="AJ82" s="4"/>
      <c r="AK82" s="15"/>
      <c r="AL82" s="3"/>
      <c r="AM82" s="15"/>
      <c r="AN82" s="15"/>
      <c r="AO82" s="19">
        <f>AN79*AP82</f>
        <v>11.211267572765552</v>
      </c>
      <c r="AP82" s="19">
        <v>16</v>
      </c>
      <c r="AQ82" s="19">
        <f>ROUND(AO82,0)</f>
        <v>11</v>
      </c>
      <c r="AR82" s="4"/>
      <c r="AS82" s="19">
        <f>AQ82/2</f>
        <v>5.5</v>
      </c>
      <c r="AT82" s="16">
        <f>TRUNC(AS82)</f>
        <v>5</v>
      </c>
      <c r="AU82" s="20">
        <f>AS82-AT82</f>
        <v>0.5</v>
      </c>
    </row>
    <row r="83" spans="31:47" ht="12.75">
      <c r="AE83" s="43" t="s">
        <v>29</v>
      </c>
      <c r="AF83" t="str">
        <f>IF($AF$82&lt;&gt;"",CONCATENATE($AD$82,"'"," – ",$AE$82,"  ",$AF$82,"/",$AG$82,"'"),CONCATENATE($AD$82,"'"," – ",$AE$82,"'"))</f>
        <v>10' – 0  11/16''</v>
      </c>
      <c r="AI83" s="9"/>
      <c r="AJ83" s="32" t="s">
        <v>36</v>
      </c>
      <c r="AK83" s="24"/>
      <c r="AL83" s="24"/>
      <c r="AM83" s="24"/>
      <c r="AN83" s="15"/>
      <c r="AO83" s="19">
        <f>AN79*AP83</f>
        <v>22.422535145531103</v>
      </c>
      <c r="AP83" s="19">
        <v>32</v>
      </c>
      <c r="AQ83" s="19">
        <f>ROUND(AO83,0)</f>
        <v>22</v>
      </c>
      <c r="AR83" s="4"/>
      <c r="AS83" s="19">
        <f>AQ83/2</f>
        <v>11</v>
      </c>
      <c r="AT83" s="16">
        <f>TRUNC(AS83)</f>
        <v>11</v>
      </c>
      <c r="AU83" s="20">
        <f>AS83-AT83</f>
        <v>0</v>
      </c>
    </row>
    <row r="84" spans="35:47" ht="12.75">
      <c r="AI84" s="9"/>
      <c r="AJ84" s="26"/>
      <c r="AK84" s="25"/>
      <c r="AL84" s="25"/>
      <c r="AM84" s="25"/>
      <c r="AN84" s="19"/>
      <c r="AO84" s="4"/>
      <c r="AP84" s="4"/>
      <c r="AQ84" s="4"/>
      <c r="AR84" s="4"/>
      <c r="AS84" s="4"/>
      <c r="AT84" s="4"/>
      <c r="AU84" s="8"/>
    </row>
    <row r="85" spans="35:47" ht="13.5" thickBot="1">
      <c r="AI85" s="9"/>
      <c r="AJ85" s="4"/>
      <c r="AK85" s="19"/>
      <c r="AL85" s="19"/>
      <c r="AM85" s="4"/>
      <c r="AN85" s="19"/>
      <c r="AO85" s="21" t="s">
        <v>14</v>
      </c>
      <c r="AP85" s="14">
        <v>0.984375</v>
      </c>
      <c r="AQ85" s="4"/>
      <c r="AR85" s="30">
        <f>IF(AU83&gt;0,AQ83,IF(AU82&gt;0,AQ82,IF(AU81&gt;0,AQ81,IF(AU80&gt;0,AQ80,AQ79))))</f>
        <v>11</v>
      </c>
      <c r="AS85" s="4" t="s">
        <v>12</v>
      </c>
      <c r="AT85" s="4"/>
      <c r="AU85" s="8"/>
    </row>
    <row r="86" spans="35:47" ht="14.25" thickBot="1" thickTop="1">
      <c r="AI86" s="13"/>
      <c r="AJ86" s="10"/>
      <c r="AK86" s="10"/>
      <c r="AL86" s="10"/>
      <c r="AM86" s="10"/>
      <c r="AN86" s="10"/>
      <c r="AO86" s="22" t="s">
        <v>15</v>
      </c>
      <c r="AP86" s="27">
        <v>0.015625</v>
      </c>
      <c r="AQ86" s="10"/>
      <c r="AR86" s="31">
        <f>IF(AU83&gt;0,AP83,IF(AU82&gt;0,AP82,IF(AU81&gt;0,AP81,IF(AU80&gt;0,AP80,AP79))))</f>
        <v>16</v>
      </c>
      <c r="AS86" s="10" t="s">
        <v>13</v>
      </c>
      <c r="AT86" s="10"/>
      <c r="AU86" s="11"/>
    </row>
    <row r="88" ht="13.5" thickBot="1"/>
    <row r="89" spans="35:47" ht="12.75">
      <c r="AI89" s="5"/>
      <c r="AJ89" s="6"/>
      <c r="AK89" s="6"/>
      <c r="AL89" s="6"/>
      <c r="AM89" s="6"/>
      <c r="AN89" s="6"/>
      <c r="AO89" s="17" t="s">
        <v>1</v>
      </c>
      <c r="AP89" s="6"/>
      <c r="AQ89" s="6"/>
      <c r="AR89" s="6"/>
      <c r="AS89" s="6"/>
      <c r="AT89" s="6" t="s">
        <v>16</v>
      </c>
      <c r="AU89" s="7"/>
    </row>
    <row r="90" spans="35:47" ht="12.75">
      <c r="AI90" s="18" t="s">
        <v>5</v>
      </c>
      <c r="AJ90" s="19" t="s">
        <v>6</v>
      </c>
      <c r="AK90" s="19" t="s">
        <v>9</v>
      </c>
      <c r="AL90" s="19" t="s">
        <v>8</v>
      </c>
      <c r="AM90" s="19" t="s">
        <v>7</v>
      </c>
      <c r="AN90" s="19" t="s">
        <v>10</v>
      </c>
      <c r="AO90" s="19" t="s">
        <v>2</v>
      </c>
      <c r="AP90" s="19" t="s">
        <v>0</v>
      </c>
      <c r="AQ90" s="19" t="s">
        <v>3</v>
      </c>
      <c r="AR90" s="4"/>
      <c r="AS90" s="19" t="s">
        <v>4</v>
      </c>
      <c r="AT90" s="19" t="s">
        <v>68</v>
      </c>
      <c r="AU90" s="20" t="s">
        <v>11</v>
      </c>
    </row>
    <row r="91" spans="35:47" ht="12.75">
      <c r="AI91" s="23">
        <f>$AC$94/12</f>
        <v>10.943898128637713</v>
      </c>
      <c r="AJ91" s="28">
        <f>TRUNC(AI91)</f>
        <v>10</v>
      </c>
      <c r="AK91" s="19">
        <f>AI91-AJ91</f>
        <v>0.9438981286377128</v>
      </c>
      <c r="AL91" s="19">
        <f>(AK91+0.00000000000001)*12</f>
        <v>11.326777543652675</v>
      </c>
      <c r="AM91" s="12">
        <f>TRUNC(AL91)</f>
        <v>11</v>
      </c>
      <c r="AN91" s="28">
        <f>AL91-AM91</f>
        <v>0.32677754365267475</v>
      </c>
      <c r="AO91" s="19">
        <f>AN91*AP91</f>
        <v>0.6535550873053495</v>
      </c>
      <c r="AP91" s="19">
        <v>2</v>
      </c>
      <c r="AQ91" s="19">
        <f>ROUND(AO91,0)</f>
        <v>1</v>
      </c>
      <c r="AR91" s="4"/>
      <c r="AS91" s="19">
        <f>AQ91/2</f>
        <v>0.5</v>
      </c>
      <c r="AT91" s="16">
        <f>TRUNC(AS91)</f>
        <v>0</v>
      </c>
      <c r="AU91" s="20">
        <f>AS91-AT91</f>
        <v>0.5</v>
      </c>
    </row>
    <row r="92" spans="29:47" ht="13.5" thickBot="1">
      <c r="AC92" s="34"/>
      <c r="AD92" s="29"/>
      <c r="AE92" s="16" t="s">
        <v>51</v>
      </c>
      <c r="AG92" s="33"/>
      <c r="AI92" s="18"/>
      <c r="AJ92" s="19"/>
      <c r="AK92" s="19"/>
      <c r="AL92" s="19">
        <f>ROUND(AL91,0)</f>
        <v>11</v>
      </c>
      <c r="AM92" s="19"/>
      <c r="AN92" s="19"/>
      <c r="AO92" s="19">
        <f>AN91*AP92</f>
        <v>1.307110174610699</v>
      </c>
      <c r="AP92" s="19">
        <v>4</v>
      </c>
      <c r="AQ92" s="19">
        <f>ROUND(AO92,0)</f>
        <v>1</v>
      </c>
      <c r="AR92" s="4"/>
      <c r="AS92" s="19">
        <f>AQ92/2</f>
        <v>0.5</v>
      </c>
      <c r="AT92" s="16">
        <f>TRUNC(AS92)</f>
        <v>0</v>
      </c>
      <c r="AU92" s="20">
        <f>AS92-AT92</f>
        <v>0.5</v>
      </c>
    </row>
    <row r="93" spans="29:47" ht="12.75">
      <c r="AC93" s="40" t="s">
        <v>17</v>
      </c>
      <c r="AD93" s="38" t="s">
        <v>19</v>
      </c>
      <c r="AE93" s="17" t="s">
        <v>18</v>
      </c>
      <c r="AF93" s="17" t="s">
        <v>24</v>
      </c>
      <c r="AG93" s="39" t="s">
        <v>25</v>
      </c>
      <c r="AI93" s="18"/>
      <c r="AJ93" s="19"/>
      <c r="AK93" s="19"/>
      <c r="AL93" s="29">
        <f>IF(AN91&gt;=AP97,AL92,AM91)</f>
        <v>11</v>
      </c>
      <c r="AM93" s="16"/>
      <c r="AN93" s="19"/>
      <c r="AO93" s="19">
        <f>AN91*AP93</f>
        <v>2.614220349221398</v>
      </c>
      <c r="AP93" s="19">
        <v>8</v>
      </c>
      <c r="AQ93" s="19">
        <f>ROUND(AO93,0)</f>
        <v>3</v>
      </c>
      <c r="AR93" s="4"/>
      <c r="AS93" s="19">
        <f>AQ93/2</f>
        <v>1.5</v>
      </c>
      <c r="AT93" s="16">
        <f>TRUNC(AS93)</f>
        <v>1</v>
      </c>
      <c r="AU93" s="20">
        <f>AS93-AT93</f>
        <v>0.5</v>
      </c>
    </row>
    <row r="94" spans="29:47" ht="13.5" thickBot="1">
      <c r="AC94" s="41">
        <f>$Y$30</f>
        <v>131.32677754365255</v>
      </c>
      <c r="AD94" s="42">
        <f>IF($AL$93=12,$AJ$91+1,$AJ$91)</f>
        <v>10</v>
      </c>
      <c r="AE94" s="35">
        <f>IF($AL$93=12,0,$AL$93)</f>
        <v>11</v>
      </c>
      <c r="AF94" s="36">
        <f>IF($AN$91&gt;=$AP$97,"",IF($AN$91&lt;$AP$98,"",$AR$97))</f>
        <v>5</v>
      </c>
      <c r="AG94" s="37">
        <f>IF($AN$91&gt;=$AP$97,"",IF($AN$91&lt;$AP$98,"",$AR$98))</f>
        <v>16</v>
      </c>
      <c r="AI94" s="9"/>
      <c r="AJ94" s="4"/>
      <c r="AK94" s="15"/>
      <c r="AL94" s="3"/>
      <c r="AM94" s="15"/>
      <c r="AN94" s="15"/>
      <c r="AO94" s="19">
        <f>AN91*AP94</f>
        <v>5.228440698442796</v>
      </c>
      <c r="AP94" s="19">
        <v>16</v>
      </c>
      <c r="AQ94" s="19">
        <f>ROUND(AO94,0)</f>
        <v>5</v>
      </c>
      <c r="AR94" s="4"/>
      <c r="AS94" s="19">
        <f>AQ94/2</f>
        <v>2.5</v>
      </c>
      <c r="AT94" s="16">
        <f>TRUNC(AS94)</f>
        <v>2</v>
      </c>
      <c r="AU94" s="20">
        <f>AS94-AT94</f>
        <v>0.5</v>
      </c>
    </row>
    <row r="95" spans="31:47" ht="12.75">
      <c r="AE95" s="43" t="s">
        <v>29</v>
      </c>
      <c r="AF95" t="str">
        <f>IF($AF$94&lt;&gt;"",CONCATENATE($AD$94,"'"," – ",$AE$94,"  ",$AF$94,"/",$AG$94,"'"),CONCATENATE($AD$94,"'"," – ",$AE$94,"'"))</f>
        <v>10' – 11  5/16''</v>
      </c>
      <c r="AI95" s="9"/>
      <c r="AJ95" s="32" t="s">
        <v>37</v>
      </c>
      <c r="AK95" s="24"/>
      <c r="AL95" s="24"/>
      <c r="AM95" s="24"/>
      <c r="AN95" s="15"/>
      <c r="AO95" s="19">
        <f>AN91*AP95</f>
        <v>10.456881396885592</v>
      </c>
      <c r="AP95" s="19">
        <v>32</v>
      </c>
      <c r="AQ95" s="19">
        <f>ROUND(AO95,0)</f>
        <v>10</v>
      </c>
      <c r="AR95" s="4"/>
      <c r="AS95" s="19">
        <f>AQ95/2</f>
        <v>5</v>
      </c>
      <c r="AT95" s="16">
        <f>TRUNC(AS95)</f>
        <v>5</v>
      </c>
      <c r="AU95" s="20">
        <f>AS95-AT95</f>
        <v>0</v>
      </c>
    </row>
    <row r="96" spans="35:47" ht="12.75">
      <c r="AI96" s="9"/>
      <c r="AJ96" s="26"/>
      <c r="AK96" s="25"/>
      <c r="AL96" s="25"/>
      <c r="AM96" s="25"/>
      <c r="AN96" s="19"/>
      <c r="AO96" s="4"/>
      <c r="AP96" s="4"/>
      <c r="AQ96" s="4"/>
      <c r="AR96" s="4"/>
      <c r="AS96" s="4"/>
      <c r="AT96" s="4"/>
      <c r="AU96" s="8"/>
    </row>
    <row r="97" spans="35:47" ht="13.5" thickBot="1">
      <c r="AI97" s="9"/>
      <c r="AJ97" s="4"/>
      <c r="AK97" s="19"/>
      <c r="AL97" s="19"/>
      <c r="AM97" s="4"/>
      <c r="AN97" s="19"/>
      <c r="AO97" s="21" t="s">
        <v>14</v>
      </c>
      <c r="AP97" s="14">
        <v>0.984375</v>
      </c>
      <c r="AQ97" s="4"/>
      <c r="AR97" s="30">
        <f>IF(AU95&gt;0,AQ95,IF(AU94&gt;0,AQ94,IF(AU93&gt;0,AQ93,IF(AU92&gt;0,AQ92,AQ91))))</f>
        <v>5</v>
      </c>
      <c r="AS97" s="4" t="s">
        <v>12</v>
      </c>
      <c r="AT97" s="4"/>
      <c r="AU97" s="8"/>
    </row>
    <row r="98" spans="35:47" ht="14.25" thickBot="1" thickTop="1">
      <c r="AI98" s="13"/>
      <c r="AJ98" s="10"/>
      <c r="AK98" s="10"/>
      <c r="AL98" s="10"/>
      <c r="AM98" s="10"/>
      <c r="AN98" s="10"/>
      <c r="AO98" s="22" t="s">
        <v>15</v>
      </c>
      <c r="AP98" s="27">
        <v>0.015625</v>
      </c>
      <c r="AQ98" s="10"/>
      <c r="AR98" s="31">
        <f>IF(AU95&gt;0,AP95,IF(AU94&gt;0,AP94,IF(AU93&gt;0,AP93,IF(AU92&gt;0,AP92,AP91))))</f>
        <v>16</v>
      </c>
      <c r="AS98" s="10" t="s">
        <v>13</v>
      </c>
      <c r="AT98" s="10"/>
      <c r="AU98" s="11"/>
    </row>
  </sheetData>
  <sheetProtection password="C042" sheet="1" objects="1" scenarios="1"/>
  <conditionalFormatting sqref="Y15">
    <cfRule type="cellIs" priority="1" dxfId="0" operator="lessThanOrEqual" stopIfTrue="1">
      <formula>0</formula>
    </cfRule>
  </conditionalFormatting>
  <conditionalFormatting sqref="Y13">
    <cfRule type="cellIs" priority="2" dxfId="1" operator="lessThanOrEqual" stopIfTrue="1">
      <formula>0</formula>
    </cfRule>
  </conditionalFormatting>
  <conditionalFormatting sqref="D10">
    <cfRule type="cellIs" priority="3" dxfId="0" operator="equal" stopIfTrue="1">
      <formula>"Main Plan Angle exceeds 90 Degrees"</formula>
    </cfRule>
    <cfRule type="cellIs" priority="4" dxfId="0" operator="equal" stopIfTrue="1">
      <formula>"Adjacent Plan Angle exceeds 90 Degrees"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Unadjusted Hip-Valley Roof Dimensions</dc:title>
  <dc:subject/>
  <dc:creator>Joe Bartok</dc:creator>
  <cp:keywords/>
  <dc:description>Applied Construction Mathematics
Unadjusted Hip-Valley Roof Dimensions
Feet-Inches-Fractional Inches</dc:description>
  <cp:lastModifiedBy>Joe</cp:lastModifiedBy>
  <dcterms:created xsi:type="dcterms:W3CDTF">2006-03-23T21:12:47Z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