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85" windowHeight="5625" tabRatio="599" activeTab="0"/>
  </bookViews>
  <sheets>
    <sheet name="CROSS VAULT CALCULATOR" sheetId="1" r:id="rId1"/>
  </sheets>
  <definedNames/>
  <calcPr fullCalcOnLoad="1"/>
</workbook>
</file>

<file path=xl/sharedStrings.xml><?xml version="1.0" encoding="utf-8"?>
<sst xmlns="http://schemas.openxmlformats.org/spreadsheetml/2006/main" count="314" uniqueCount="128">
  <si>
    <t>Main Barrel Ellipse Data</t>
  </si>
  <si>
    <t>Saw Blade Bevel =</t>
  </si>
  <si>
    <t>Saw Blade Miter =</t>
  </si>
  <si>
    <t>Angle on the Stick =</t>
  </si>
  <si>
    <t>Pitch Angle at Framing Point =</t>
  </si>
  <si>
    <t>Slope at Framing Point =</t>
  </si>
  <si>
    <t>Foci from Center =</t>
  </si>
  <si>
    <t>Dimension to Framing Point =</t>
  </si>
  <si>
    <t>ENTER</t>
  </si>
  <si>
    <t>Purlin Face perpendicular to the Curve</t>
  </si>
  <si>
    <t>Purlin Face tangent to the Curve</t>
  </si>
  <si>
    <t>Valley Ellipse Data</t>
  </si>
  <si>
    <t>Center to Framing Point =</t>
  </si>
  <si>
    <t>cos plan angle</t>
  </si>
  <si>
    <t>main run/adj run</t>
  </si>
  <si>
    <t>adj run/main run</t>
  </si>
  <si>
    <t>main semi major axis</t>
  </si>
  <si>
    <t>adj semi major axis</t>
  </si>
  <si>
    <t>main run/adj run+cos plan angle</t>
  </si>
  <si>
    <t>adj run/main run+cos plan angle</t>
  </si>
  <si>
    <t>main den</t>
  </si>
  <si>
    <t>adj den</t>
  </si>
  <si>
    <t>main plan angle</t>
  </si>
  <si>
    <t>adj plan angle</t>
  </si>
  <si>
    <t>valley width</t>
  </si>
  <si>
    <t>run&gt;rise main focus</t>
  </si>
  <si>
    <t>rise&gt;run main focus</t>
  </si>
  <si>
    <t>run&gt;rise valley focus</t>
  </si>
  <si>
    <t>rise&gt;run valley focus</t>
  </si>
  <si>
    <t>run&gt;rise adj focus</t>
  </si>
  <si>
    <t>rise&gt;run adj focus</t>
  </si>
  <si>
    <t>main fp rise</t>
  </si>
  <si>
    <t>main fp slope</t>
  </si>
  <si>
    <t>main fp angle</t>
  </si>
  <si>
    <t>degrees</t>
  </si>
  <si>
    <t>valley fp width</t>
  </si>
  <si>
    <t>valley fp slope</t>
  </si>
  <si>
    <t>valley fp angle</t>
  </si>
  <si>
    <t>adj fp width</t>
  </si>
  <si>
    <t>adj fp slope</t>
  </si>
  <si>
    <t>adj fp angle</t>
  </si>
  <si>
    <t>main backing angle</t>
  </si>
  <si>
    <t>main sheathing angle</t>
  </si>
  <si>
    <t>main jack side cut angle</t>
  </si>
  <si>
    <t>main pp angle on stick</t>
  </si>
  <si>
    <t>main pp miter angle</t>
  </si>
  <si>
    <t>main pp bevel angle</t>
  </si>
  <si>
    <t>adj sheathing angle</t>
  </si>
  <si>
    <t>adj jack side cut angle</t>
  </si>
  <si>
    <t>adj backing angle</t>
  </si>
  <si>
    <t>adj pp angle on stick</t>
  </si>
  <si>
    <t>adj pp miter angle</t>
  </si>
  <si>
    <t>adj pp bevel angle</t>
  </si>
  <si>
    <t>over 12</t>
  </si>
  <si>
    <t>Deck Angle or Plan Angle =</t>
  </si>
  <si>
    <t>Joe Bartok</t>
  </si>
  <si>
    <t>inches</t>
  </si>
  <si>
    <t xml:space="preserve"> inches</t>
  </si>
  <si>
    <t xml:space="preserve"> degrees</t>
  </si>
  <si>
    <t>Hidden</t>
  </si>
  <si>
    <t>Arc Length to Framing Point =</t>
  </si>
  <si>
    <t>y1</t>
  </si>
  <si>
    <t>y3</t>
  </si>
  <si>
    <t>y2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</si>
  <si>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</si>
  <si>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</si>
  <si>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</si>
  <si>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</si>
  <si>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</si>
  <si>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</si>
  <si>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</si>
  <si>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</si>
  <si>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</si>
  <si>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</si>
  <si>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</si>
  <si>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</si>
  <si>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</si>
  <si>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</si>
  <si>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</si>
  <si>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</si>
  <si>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</si>
  <si>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</si>
  <si>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pi</t>
  </si>
  <si>
    <t>sum</t>
  </si>
  <si>
    <t>valley parametric angle</t>
  </si>
  <si>
    <t>valley parametric angle/20</t>
  </si>
  <si>
    <t>adj parametric angle</t>
  </si>
  <si>
    <t>adj parametric angle/20</t>
  </si>
  <si>
    <t>Ellipse Arc Lengths</t>
  </si>
  <si>
    <t>Dimension Calculations</t>
  </si>
  <si>
    <t>Angle Calculations</t>
  </si>
  <si>
    <t>Main Barrel Ellipse Span =</t>
  </si>
  <si>
    <t>Adjacent Barrel Ellipse Span =</t>
  </si>
  <si>
    <t>Adjacent Barrel Ellipse Data</t>
  </si>
  <si>
    <t>main parametric angle</t>
  </si>
  <si>
    <t>main parametric angle/20</t>
  </si>
  <si>
    <t>main 1/4 arc</t>
  </si>
  <si>
    <t>pi/40</t>
  </si>
  <si>
    <t>pi/2</t>
  </si>
  <si>
    <t>Span =</t>
  </si>
  <si>
    <t>1/4 Ellipse Arc Length =</t>
  </si>
  <si>
    <t>Rise to Framing Points for ALL Barrels =</t>
  </si>
  <si>
    <t>Angle in Plan between Centerlines =</t>
  </si>
  <si>
    <t>valley 1/4 arc</t>
  </si>
  <si>
    <t>adj 1/4 arc</t>
  </si>
  <si>
    <t>Cross Vault Dimension and Purlin Angle Calculator</t>
  </si>
  <si>
    <t>main footprint angle</t>
  </si>
  <si>
    <t>adj footprint angle</t>
  </si>
  <si>
    <t>90 - main footprint angle</t>
  </si>
  <si>
    <t>90 - adj footprint angle</t>
  </si>
  <si>
    <t>Angle from tangent to Curve =</t>
  </si>
  <si>
    <t>main purlin diff length</t>
  </si>
  <si>
    <t>adj purlin diff length</t>
  </si>
  <si>
    <t xml:space="preserve"> Vault</t>
  </si>
  <si>
    <t>select fp ref vault</t>
  </si>
  <si>
    <t>g12 changed to ad8</t>
  </si>
  <si>
    <t>ad18</t>
  </si>
  <si>
    <t>ad19</t>
  </si>
  <si>
    <t>ad20</t>
  </si>
  <si>
    <t>ad24</t>
  </si>
  <si>
    <t>am9</t>
  </si>
  <si>
    <t>Main</t>
  </si>
  <si>
    <t>Angle from perpendicular to Curve =</t>
  </si>
  <si>
    <t xml:space="preserve">measured on x-axis from the Center of the </t>
  </si>
  <si>
    <t>Purlin Length =</t>
  </si>
  <si>
    <t>Vault Height =</t>
  </si>
  <si>
    <t>Purlin Face intercepts Valley Ellipse</t>
  </si>
  <si>
    <t>half ellipse width ref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</si>
</sst>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??/16"/>
    <numFmt numFmtId="165" formatCode="00000"/>
  </numFmts>
  <fonts count="17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b/>
      <sz val="14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1"/>
      <name val="Times New Roman"/>
      <family val="1"/>
    </font>
    <font>
      <b/>
      <sz val="12"/>
      <color indexed="61"/>
      <name val="Times New Roman"/>
      <family val="1"/>
    </font>
    <font>
      <b/>
      <sz val="16"/>
      <color indexed="62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4" xfId="0" applyFill="1" applyBorder="1" applyAlignment="1">
      <alignment/>
    </xf>
    <xf numFmtId="0" fontId="16" fillId="3" borderId="5" xfId="0" applyFon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righ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3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strike val="0"/>
        <color rgb="FFFF0000"/>
      </font>
      <border/>
    </dxf>
    <dxf>
      <font>
        <b/>
        <i val="0"/>
        <strike val="0"/>
        <color rgb="FFFF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800100</xdr:colOff>
      <xdr:row>6</xdr:row>
      <xdr:rowOff>38100</xdr:rowOff>
    </xdr:from>
    <xdr:to>
      <xdr:col>9</xdr:col>
      <xdr:colOff>123825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1143000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</xdr:row>
      <xdr:rowOff>47625</xdr:rowOff>
    </xdr:from>
    <xdr:to>
      <xdr:col>19</xdr:col>
      <xdr:colOff>257175</xdr:colOff>
      <xdr:row>82</xdr:row>
      <xdr:rowOff>66675</xdr:rowOff>
    </xdr:to>
    <xdr:grpSp>
      <xdr:nvGrpSpPr>
        <xdr:cNvPr id="2" name="Group 7"/>
        <xdr:cNvGrpSpPr>
          <a:grpSpLocks/>
        </xdr:cNvGrpSpPr>
      </xdr:nvGrpSpPr>
      <xdr:grpSpPr>
        <a:xfrm>
          <a:off x="6419850" y="533400"/>
          <a:ext cx="5715000" cy="15801975"/>
          <a:chOff x="674" y="80"/>
          <a:chExt cx="600" cy="1664"/>
        </a:xfrm>
        <a:solidFill>
          <a:srgbClr val="FFFFFF"/>
        </a:solidFill>
      </xdr:grpSpPr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74" y="80"/>
            <a:ext cx="600" cy="430"/>
          </a:xfrm>
          <a:prstGeom prst="rect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74" y="876"/>
            <a:ext cx="600" cy="430"/>
          </a:xfrm>
          <a:prstGeom prst="rect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74" y="518"/>
            <a:ext cx="600" cy="350"/>
          </a:xfrm>
          <a:prstGeom prst="rect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74" y="1314"/>
            <a:ext cx="600" cy="430"/>
          </a:xfrm>
          <a:prstGeom prst="rect">
            <a:avLst/>
          </a:prstGeom>
          <a:noFill/>
          <a:ln w="9525" cmpd="sng">
            <a:solidFill>
              <a:srgbClr val="333399"/>
            </a:solidFill>
            <a:headEnd type="none"/>
            <a:tailEnd type="none"/>
          </a:ln>
        </xdr:spPr>
      </xdr:pic>
    </xdr:grpSp>
    <xdr:clientData/>
  </xdr:twoCellAnchor>
  <xdr:twoCellAnchor editAs="oneCell">
    <xdr:from>
      <xdr:col>0</xdr:col>
      <xdr:colOff>123825</xdr:colOff>
      <xdr:row>66</xdr:row>
      <xdr:rowOff>171450</xdr:rowOff>
    </xdr:from>
    <xdr:to>
      <xdr:col>9</xdr:col>
      <xdr:colOff>533400</xdr:colOff>
      <xdr:row>82</xdr:row>
      <xdr:rowOff>66675</xdr:rowOff>
    </xdr:to>
    <xdr:pic>
      <xdr:nvPicPr>
        <xdr:cNvPr id="7" name="Picture 5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3239750"/>
          <a:ext cx="6191250" cy="3095625"/>
        </a:xfrm>
        <a:prstGeom prst="rect">
          <a:avLst/>
        </a:prstGeom>
        <a:noFill/>
        <a:ln w="9525" cmpd="sng">
          <a:solidFill>
            <a:srgbClr val="333399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AU281"/>
  <sheetViews>
    <sheetView showGridLines="0" tabSelected="1" workbookViewId="0" topLeftCell="A1">
      <selection activeCell="A1" sqref="A1"/>
    </sheetView>
  </sheetViews>
  <sheetFormatPr defaultColWidth="9.140625" defaultRowHeight="12.75"/>
  <cols>
    <col min="7" max="7" width="10.57421875" style="0" customWidth="1"/>
    <col min="8" max="8" width="12.140625" style="0" customWidth="1"/>
    <col min="22" max="28" width="9.140625" style="0" hidden="1" customWidth="1"/>
    <col min="29" max="29" width="12.421875" style="0" hidden="1" customWidth="1"/>
    <col min="30" max="40" width="9.140625" style="0" hidden="1" customWidth="1"/>
    <col min="41" max="41" width="11.7109375" style="23" hidden="1" customWidth="1"/>
    <col min="42" max="16384" width="9.140625" style="0" hidden="1" customWidth="1"/>
  </cols>
  <sheetData>
    <row r="2" ht="12.75">
      <c r="V2" s="22" t="s">
        <v>59</v>
      </c>
    </row>
    <row r="4" ht="20.25">
      <c r="C4" s="20" t="s">
        <v>105</v>
      </c>
    </row>
    <row r="6" spans="7:43" ht="15.75">
      <c r="G6" s="38" t="s">
        <v>8</v>
      </c>
      <c r="AC6" s="22" t="s">
        <v>89</v>
      </c>
      <c r="AH6" s="22" t="s">
        <v>90</v>
      </c>
      <c r="AQ6" s="22" t="s">
        <v>88</v>
      </c>
    </row>
    <row r="7" spans="6:30" ht="15.75">
      <c r="F7" s="13" t="s">
        <v>102</v>
      </c>
      <c r="G7" s="14">
        <v>90</v>
      </c>
      <c r="H7" s="2" t="s">
        <v>58</v>
      </c>
      <c r="AC7" s="7" t="s">
        <v>127</v>
      </c>
      <c r="AD7" s="39">
        <f>IF(LEFT($G$12)="a",0.5*$G$10,0.5*$G$9)</f>
        <v>80.9017</v>
      </c>
    </row>
    <row r="8" spans="6:47" ht="15.75">
      <c r="F8" s="13" t="s">
        <v>125</v>
      </c>
      <c r="G8" s="14">
        <v>31.41592</v>
      </c>
      <c r="H8" s="2" t="s">
        <v>57</v>
      </c>
      <c r="AB8" s="28"/>
      <c r="AC8" s="29" t="s">
        <v>114</v>
      </c>
      <c r="AD8" s="30">
        <f>IF(LEFT($G$12)="a",$G$11*SIN($AI$15)/SIN($AI$17),$G$11)</f>
        <v>70.71068</v>
      </c>
      <c r="AH8" s="7" t="s">
        <v>13</v>
      </c>
      <c r="AI8">
        <f>COS(RADIANS(($G$7)))</f>
        <v>6.1257422745431E-17</v>
      </c>
      <c r="AL8" s="7" t="s">
        <v>82</v>
      </c>
      <c r="AM8" s="23">
        <f>PI()</f>
        <v>3.141592653589793</v>
      </c>
      <c r="AP8" s="7" t="s">
        <v>82</v>
      </c>
      <c r="AQ8" s="23">
        <f>PI()</f>
        <v>3.141592653589793</v>
      </c>
      <c r="AT8" s="7" t="s">
        <v>82</v>
      </c>
      <c r="AU8" s="23">
        <f>PI()</f>
        <v>3.141592653589793</v>
      </c>
    </row>
    <row r="9" spans="6:47" ht="15.75">
      <c r="F9" s="13" t="s">
        <v>91</v>
      </c>
      <c r="G9" s="14">
        <v>161.8034</v>
      </c>
      <c r="H9" s="2" t="s">
        <v>57</v>
      </c>
      <c r="AC9" s="7" t="s">
        <v>16</v>
      </c>
      <c r="AD9">
        <f>0.5*$G$9</f>
        <v>80.9017</v>
      </c>
      <c r="AH9" s="7" t="s">
        <v>14</v>
      </c>
      <c r="AI9">
        <f>$AD$10/$AD$9</f>
        <v>0.618033984452737</v>
      </c>
      <c r="AL9" s="7" t="s">
        <v>94</v>
      </c>
      <c r="AM9" s="23">
        <f>ACOS($AD$8/$AD$9)</f>
        <v>0.5073562678626902</v>
      </c>
      <c r="AP9" s="7" t="s">
        <v>84</v>
      </c>
      <c r="AQ9" s="23">
        <f>ACOS($AD$20/(0.5*$AD$11))</f>
        <v>0.5073562678626902</v>
      </c>
      <c r="AT9" s="7" t="s">
        <v>86</v>
      </c>
      <c r="AU9" s="23">
        <f>ACOS($AD$22/$AD$10)</f>
        <v>0.5073562678626904</v>
      </c>
    </row>
    <row r="10" spans="6:47" ht="15.75">
      <c r="F10" s="13" t="s">
        <v>92</v>
      </c>
      <c r="G10" s="14">
        <v>100</v>
      </c>
      <c r="H10" s="2" t="s">
        <v>57</v>
      </c>
      <c r="I10" s="15" t="s">
        <v>55</v>
      </c>
      <c r="AC10" s="7" t="s">
        <v>17</v>
      </c>
      <c r="AD10">
        <f>0.5*$G$10</f>
        <v>50</v>
      </c>
      <c r="AH10" s="7" t="s">
        <v>15</v>
      </c>
      <c r="AI10">
        <f>$AD$9/$AD$10</f>
        <v>1.6180340000000002</v>
      </c>
      <c r="AL10" s="7" t="s">
        <v>95</v>
      </c>
      <c r="AM10" s="23">
        <f>(0.5*$AM$8-$AM$9)/20</f>
        <v>0.05317200294661032</v>
      </c>
      <c r="AP10" s="7" t="s">
        <v>85</v>
      </c>
      <c r="AQ10" s="23">
        <f>(0.5*$AQ$8-$AQ$9)/20</f>
        <v>0.05317200294661032</v>
      </c>
      <c r="AT10" s="7" t="s">
        <v>87</v>
      </c>
      <c r="AU10" s="23">
        <f>(0.5*$AU$8-$AU$9)/20</f>
        <v>0.05317200294661031</v>
      </c>
    </row>
    <row r="11" spans="6:47" ht="15.75">
      <c r="F11" s="1" t="s">
        <v>7</v>
      </c>
      <c r="G11" s="14">
        <v>70.71068</v>
      </c>
      <c r="H11" s="10" t="str">
        <f>IF($G$11&gt;$AD$7," exceeds Semi-Axis!"," inches")</f>
        <v> inches</v>
      </c>
      <c r="AC11" s="7" t="s">
        <v>24</v>
      </c>
      <c r="AD11">
        <f>$G$9/SIN($AI$15)</f>
        <v>190.21130421602186</v>
      </c>
      <c r="AH11" s="7" t="s">
        <v>18</v>
      </c>
      <c r="AI11">
        <f>$AI$9+$AI$8</f>
        <v>0.6180339844527372</v>
      </c>
      <c r="AL11" s="7" t="s">
        <v>61</v>
      </c>
      <c r="AM11" s="23">
        <f>SQRT($AD$9*$AD$9*SIN($AM$9)*SIN($AM$9)+$G$8*$G$8*COS($AM$9)*COS($AM$9))</f>
        <v>47.94846397837429</v>
      </c>
      <c r="AP11" s="7" t="s">
        <v>61</v>
      </c>
      <c r="AQ11" s="23">
        <f>SQRT(0.25*$AD$11*$AD$11*SIN($AQ$9)*SIN($AQ$9)+$G$8*$G$8*COS($AQ$9)*COS($AQ$9))</f>
        <v>53.751512225853105</v>
      </c>
      <c r="AT11" s="7" t="s">
        <v>61</v>
      </c>
      <c r="AU11" s="23">
        <f>SQRT($AD$10*$AD$10*SIN($AU$9)*SIN($AU$9)+$G$8*$G$8*COS($AU$9)*COS($AU$9))</f>
        <v>36.66251859513246</v>
      </c>
    </row>
    <row r="12" spans="6:47" ht="15.75">
      <c r="F12" s="1" t="s">
        <v>123</v>
      </c>
      <c r="G12" s="14" t="s">
        <v>121</v>
      </c>
      <c r="H12" s="37" t="s">
        <v>113</v>
      </c>
      <c r="AC12" s="7" t="s">
        <v>25</v>
      </c>
      <c r="AD12">
        <f>SQRT($AD$9*$AD$9-$G$8*$G$8)</f>
        <v>74.5528338391211</v>
      </c>
      <c r="AH12" s="7" t="s">
        <v>19</v>
      </c>
      <c r="AI12">
        <f>$AI$10+$AI$8</f>
        <v>1.6180340000000002</v>
      </c>
      <c r="AL12" s="7" t="s">
        <v>63</v>
      </c>
      <c r="AM12" s="23">
        <f>SQRT($AD$9*$AD$9*SIN($AM$9+$AM$10)*SIN($AM$9+$AM$10)+$G$8*$G$8*COS($AM$9+$AM$10)*COS($AM$9+$AM$10))</f>
        <v>50.57546180146464</v>
      </c>
      <c r="AP12" s="7" t="s">
        <v>63</v>
      </c>
      <c r="AQ12" s="23">
        <f>SQRT(0.25*$AD$11*$AD$11*SIN($AQ$9+$AQ$10)*SIN($AQ$9+$AQ$10)+$G$8*$G$8*COS($AQ$9+$AQ$10)*COS($AQ$9+$AQ$10))</f>
        <v>57.13548218315597</v>
      </c>
      <c r="AT12" s="7" t="s">
        <v>63</v>
      </c>
      <c r="AU12" s="23">
        <f>SQRT($AD$10*$AD$10*SIN($AU$9+$AU$10)*SIN($AU$9+$AU$10)+$G$8*$G$8*COS($AU$9+$AU$10)*COS($AU$9+$AU$10))</f>
        <v>37.61113088380567</v>
      </c>
    </row>
    <row r="13" spans="29:47" ht="12.75">
      <c r="AC13" s="7" t="s">
        <v>26</v>
      </c>
      <c r="AD13" t="e">
        <f>SQRT($G$8*$G$8-$AD$9*$AD$9)</f>
        <v>#NUM!</v>
      </c>
      <c r="AH13" s="7" t="s">
        <v>20</v>
      </c>
      <c r="AI13">
        <f>SQRT($AI$9*$AI$9+2*$AI$9*$AI$8+1)</f>
        <v>1.1755705023257967</v>
      </c>
      <c r="AL13" s="7" t="s">
        <v>62</v>
      </c>
      <c r="AM13" s="23">
        <f>SQRT($AD$9*$AD$9*SIN($AM$9+2*$AM$10)*SIN($AM$9+2*$AM$10)+$G$8*$G$8*COS($AM$9+2*$AM$10)*COS($AM$9+2*$AM$10))</f>
        <v>53.20102983247374</v>
      </c>
      <c r="AP13" s="7" t="s">
        <v>62</v>
      </c>
      <c r="AQ13" s="23">
        <f>SQRT(0.25*$AD$11*$AD$11*SIN($AQ$9+2*$AQ$10)*SIN($AQ$9+2*$AQ$10)+$G$8*$G$8*COS($AQ$9+2*$AQ$10)*COS($AQ$9+2*$AQ$10))</f>
        <v>60.493730152482534</v>
      </c>
      <c r="AT13" s="7" t="s">
        <v>62</v>
      </c>
      <c r="AU13" s="23">
        <f>SQRT($AD$10*$AD$10*SIN($AU$9+2*$AU$10)*SIN($AU$9+2*$AU$10)+$G$8*$G$8*COS($AU$9+2*$AU$10)*COS($AU$9+2*$AU$10))</f>
        <v>38.58458125844835</v>
      </c>
    </row>
    <row r="14" spans="6:47" ht="15.75">
      <c r="F14" s="12" t="s">
        <v>101</v>
      </c>
      <c r="G14" s="15">
        <f>$AD$18</f>
        <v>15.263997785264007</v>
      </c>
      <c r="H14" s="16">
        <f>$AD$18</f>
        <v>15.263997785264007</v>
      </c>
      <c r="I14" s="15" t="s">
        <v>56</v>
      </c>
      <c r="AC14" s="7" t="s">
        <v>27</v>
      </c>
      <c r="AD14">
        <f>SQRT(0.25*$AD$11*$AD$11-$G$8*$G$8)</f>
        <v>89.76705984626881</v>
      </c>
      <c r="AH14" s="7" t="s">
        <v>21</v>
      </c>
      <c r="AI14">
        <f>SQRT($AI$10*$AI$10+2*$AI$10*$AI$8+1)</f>
        <v>1.9021130421602184</v>
      </c>
      <c r="AL14" s="7" t="s">
        <v>64</v>
      </c>
      <c r="AM14" s="23">
        <f>SQRT($AD$9*$AD$9*SIN($AM$9+3*$AM$10)*SIN($AM$9+3*$AM$10)+$G$8*$G$8*COS($AM$9+3*$AM$10)*COS($AM$9+3*$AM$10))</f>
        <v>55.79779041919991</v>
      </c>
      <c r="AP14" s="7" t="s">
        <v>64</v>
      </c>
      <c r="AQ14" s="23">
        <f>SQRT(0.25*$AD$11*$AD$11*SIN($AQ$9+3*$AQ$10)*SIN($AQ$9+3*$AQ$10)+$G$8*$G$8*COS($AQ$9+3*$AQ$10)*COS($AQ$9+3*$AQ$10))</f>
        <v>63.79534524047164</v>
      </c>
      <c r="AT14" s="7" t="s">
        <v>64</v>
      </c>
      <c r="AU14" s="23">
        <f>SQRT($AD$10*$AD$10*SIN($AU$9+3*$AU$10)*SIN($AU$9+3*$AU$10)+$G$8*$G$8*COS($AU$9+3*$AU$10)*COS($AU$9+3*$AU$10))</f>
        <v>39.57044945991992</v>
      </c>
    </row>
    <row r="15" spans="29:47" ht="12.75">
      <c r="AC15" s="7" t="s">
        <v>28</v>
      </c>
      <c r="AD15" t="e">
        <f>SQRT($G$8*$G$8-0.25*$AD$11*$AD$11)</f>
        <v>#NUM!</v>
      </c>
      <c r="AH15" s="7" t="s">
        <v>22</v>
      </c>
      <c r="AI15">
        <f>ACOS($AI$11/$AI$13)</f>
        <v>1.0172219710073038</v>
      </c>
      <c r="AL15" s="7" t="s">
        <v>65</v>
      </c>
      <c r="AM15" s="23">
        <f>SQRT($AD$9*$AD$9*SIN($AM$9+4*$AM$10)*SIN($AM$9+4*$AM$10)+$G$8*$G$8*COS($AM$9+4*$AM$10)*COS($AM$9+4*$AM$10))</f>
        <v>58.34218814004122</v>
      </c>
      <c r="AP15" s="7" t="s">
        <v>65</v>
      </c>
      <c r="AQ15" s="23">
        <f>SQRT(0.25*$AD$11*$AD$11*SIN($AQ$9+4*$AQ$10)*SIN($AQ$9+4*$AQ$10)+$G$8*$G$8*COS($AQ$9+4*$AQ$10)*COS($AQ$9+4*$AQ$10))</f>
        <v>67.01411071747434</v>
      </c>
      <c r="AT15" s="7" t="s">
        <v>65</v>
      </c>
      <c r="AU15" s="23">
        <f>SQRT($AD$10*$AD$10*SIN($AU$9+4*$AU$10)*SIN($AU$9+4*$AU$10)+$G$8*$G$8*COS($AU$9+4*$AU$10)*COS($AU$9+4*$AU$10))</f>
        <v>40.557099224558776</v>
      </c>
    </row>
    <row r="16" spans="6:47" ht="18.75">
      <c r="F16" s="24" t="s">
        <v>0</v>
      </c>
      <c r="G16" s="25" t="str">
        <f>IF($G$8&gt;$AD$9," Major Axis on y-axis"," Major Axis on x-axis")</f>
        <v> Major Axis on x-axis</v>
      </c>
      <c r="I16" s="11"/>
      <c r="AC16" s="7" t="s">
        <v>29</v>
      </c>
      <c r="AD16">
        <f>SQRT($AD$10*$AD$10-$G$8*$G$8)</f>
        <v>38.89781447014215</v>
      </c>
      <c r="AH16" s="7" t="s">
        <v>22</v>
      </c>
      <c r="AI16">
        <f>DEGREES($AI$15)</f>
        <v>58.282525766697496</v>
      </c>
      <c r="AL16" s="7" t="s">
        <v>66</v>
      </c>
      <c r="AM16" s="23">
        <f>SQRT($AD$9*$AD$9*SIN($AM$9+5*$AM$10)*SIN($AM$9+5*$AM$10)+$G$8*$G$8*COS($AM$9+5*$AM$10)*COS($AM$9+5*$AM$10))</f>
        <v>60.813821026720575</v>
      </c>
      <c r="AP16" s="7" t="s">
        <v>66</v>
      </c>
      <c r="AQ16" s="23">
        <f>SQRT(0.25*$AD$11*$AD$11*SIN($AQ$9+5*$AQ$10)*SIN($AQ$9+5*$AQ$10)+$G$8*$G$8*COS($AQ$9+5*$AQ$10)*COS($AQ$9+5*$AQ$10))</f>
        <v>70.12752055167327</v>
      </c>
      <c r="AT16" s="7" t="s">
        <v>66</v>
      </c>
      <c r="AU16" s="23">
        <f>SQRT($AD$10*$AD$10*SIN($AU$9+5*$AU$10)*SIN($AU$9+5*$AU$10)+$G$8*$G$8*COS($AU$9+5*$AU$10)*COS($AU$9+5*$AU$10))</f>
        <v>41.53372323286839</v>
      </c>
    </row>
    <row r="17" spans="6:47" ht="15.75">
      <c r="F17" s="1" t="s">
        <v>100</v>
      </c>
      <c r="G17" s="15">
        <f>$AM$58</f>
        <v>92.54969934071289</v>
      </c>
      <c r="H17" s="16">
        <f>$AM$58</f>
        <v>92.54969934071289</v>
      </c>
      <c r="I17" s="15" t="s">
        <v>56</v>
      </c>
      <c r="AC17" s="7" t="s">
        <v>30</v>
      </c>
      <c r="AD17" t="e">
        <f>SQRT($G$8*$G$8-$AD$10*$AD$10)</f>
        <v>#NUM!</v>
      </c>
      <c r="AH17" s="7" t="s">
        <v>23</v>
      </c>
      <c r="AI17">
        <f>ACOS($AI$12/$AI$14)</f>
        <v>0.5535743557875925</v>
      </c>
      <c r="AL17" s="7" t="s">
        <v>67</v>
      </c>
      <c r="AM17" s="23">
        <f>SQRT($AD$9*$AD$9*SIN($AM$9+6*$AM$10)*SIN($AM$9+6*$AM$10)+$G$8*$G$8*COS($AM$9+6*$AM$10)*COS($AM$9+6*$AM$10))</f>
        <v>63.19490216339709</v>
      </c>
      <c r="AP17" s="7" t="s">
        <v>67</v>
      </c>
      <c r="AQ17" s="23">
        <f>SQRT(0.25*$AD$11*$AD$11*SIN($AQ$9+6*$AQ$10)*SIN($AQ$9+6*$AQ$10)+$G$8*$G$8*COS($AQ$9+6*$AQ$10)*COS($AQ$9+6*$AQ$10))</f>
        <v>73.11604624184552</v>
      </c>
      <c r="AT17" s="7" t="s">
        <v>67</v>
      </c>
      <c r="AU17" s="23">
        <f>SQRT($AD$10*$AD$10*SIN($AU$9+6*$AU$10)*SIN($AU$9+6*$AU$10)+$G$8*$G$8*COS($AU$9+6*$AU$10)*COS($AU$9+6*$AU$10))</f>
        <v>42.49035492144312</v>
      </c>
    </row>
    <row r="18" spans="4:47" ht="15.75">
      <c r="D18" s="10" t="str">
        <f>IF($G$8&gt;$AD$9,"on y-axis","on x-axis")</f>
        <v>on x-axis</v>
      </c>
      <c r="F18" s="1" t="s">
        <v>6</v>
      </c>
      <c r="G18" s="15">
        <f>IF($AD$9&gt;$G$8,$AD$12,$AD$13)</f>
        <v>74.5528338391211</v>
      </c>
      <c r="H18" s="16">
        <f>IF($AD$9&gt;$G$8,$AD$12,$AD$13)</f>
        <v>74.5528338391211</v>
      </c>
      <c r="I18" s="15" t="s">
        <v>56</v>
      </c>
      <c r="AC18" s="7" t="s">
        <v>31</v>
      </c>
      <c r="AD18">
        <f>SQRT(($G$8*$G$8*$AD$9*$AD$9-$G$8*$G$8*$AD$8*$AD$8)/($AD$9*$AD$9))</f>
        <v>15.263997785264007</v>
      </c>
      <c r="AH18" s="7" t="s">
        <v>23</v>
      </c>
      <c r="AI18">
        <f>DEGREES($AI$17)</f>
        <v>31.717474233302486</v>
      </c>
      <c r="AL18" s="7" t="s">
        <v>68</v>
      </c>
      <c r="AM18" s="23">
        <f>SQRT($AD$9*$AD$9*SIN($AM$9+7*$AM$10)*SIN($AM$9+7*$AM$10)+$G$8*$G$8*COS($AM$9+7*$AM$10)*COS($AM$9+7*$AM$10))</f>
        <v>65.46983488888092</v>
      </c>
      <c r="AP18" s="7" t="s">
        <v>68</v>
      </c>
      <c r="AQ18" s="23">
        <f>SQRT(0.25*$AD$11*$AD$11*SIN($AQ$9+7*$AQ$10)*SIN($AQ$9+7*$AQ$10)+$G$8*$G$8*COS($AQ$9+7*$AQ$10)*COS($AQ$9+7*$AQ$10))</f>
        <v>75.96259327343684</v>
      </c>
      <c r="AT18" s="7" t="s">
        <v>68</v>
      </c>
      <c r="AU18" s="23">
        <f>SQRT($AD$10*$AD$10*SIN($AU$9+7*$AU$10)*SIN($AU$9+7*$AU$10)+$G$8*$G$8*COS($AU$9+7*$AU$10)*COS($AU$9+7*$AU$10))</f>
        <v>43.41785829400219</v>
      </c>
    </row>
    <row r="19" spans="6:47" ht="15.75">
      <c r="F19" s="1" t="s">
        <v>124</v>
      </c>
      <c r="G19" s="15">
        <f>$AD$24</f>
        <v>6.29839669623754</v>
      </c>
      <c r="H19" s="16">
        <f>$AD$24</f>
        <v>6.29839669623754</v>
      </c>
      <c r="I19" s="15" t="s">
        <v>56</v>
      </c>
      <c r="AC19" s="7" t="s">
        <v>32</v>
      </c>
      <c r="AD19">
        <f>($G$8*$G$8*$AD$8)/($AD$9*$AD$9*$AD$18)</f>
        <v>0.6985556165788497</v>
      </c>
      <c r="AH19" s="7" t="s">
        <v>33</v>
      </c>
      <c r="AI19">
        <f>ATAN($AD$19)</f>
        <v>0.6097559216055148</v>
      </c>
      <c r="AL19" s="7" t="s">
        <v>69</v>
      </c>
      <c r="AM19" s="23">
        <f>SQRT($AD$9*$AD$9*SIN($AM$9+8*$AM$10)*SIN($AM$9+8*$AM$10)+$G$8*$G$8*COS($AM$9+8*$AM$10)*COS($AM$9+8*$AM$10))</f>
        <v>67.62488158897948</v>
      </c>
      <c r="AP19" s="7" t="s">
        <v>69</v>
      </c>
      <c r="AQ19" s="23">
        <f>SQRT(0.25*$AD$11*$AD$11*SIN($AQ$9+8*$AQ$10)*SIN($AQ$9+8*$AQ$10)+$G$8*$G$8*COS($AQ$9+8*$AQ$10)*COS($AQ$9+8*$AQ$10))</f>
        <v>78.65209873846953</v>
      </c>
      <c r="AT19" s="7" t="s">
        <v>69</v>
      </c>
      <c r="AU19" s="23">
        <f>SQRT($AD$10*$AD$10*SIN($AU$9+8*$AU$10)*SIN($AU$9+8*$AU$10)+$G$8*$G$8*COS($AU$9+8*$AU$10)*COS($AU$9+8*$AU$10))</f>
        <v>44.30790426387338</v>
      </c>
    </row>
    <row r="20" spans="6:47" ht="15.75">
      <c r="F20" s="1" t="s">
        <v>12</v>
      </c>
      <c r="G20" s="15">
        <f>$AD$8</f>
        <v>70.71068</v>
      </c>
      <c r="H20" s="16">
        <f>$AD$8</f>
        <v>70.71068</v>
      </c>
      <c r="I20" s="15" t="s">
        <v>56</v>
      </c>
      <c r="AC20" s="7" t="s">
        <v>35</v>
      </c>
      <c r="AD20">
        <f>$AD$8/SIN($AI$15)</f>
        <v>83.12538960739867</v>
      </c>
      <c r="AH20" s="7" t="s">
        <v>33</v>
      </c>
      <c r="AI20">
        <f>DEGREES($AI$19)</f>
        <v>34.936440841105885</v>
      </c>
      <c r="AL20" s="7" t="s">
        <v>70</v>
      </c>
      <c r="AM20" s="23">
        <f>SQRT($AD$9*$AD$9*SIN($AM$9+9*$AM$10)*SIN($AM$9+9*$AM$10)+$G$8*$G$8*COS($AM$9+9*$AM$10)*COS($AM$9+9*$AM$10))</f>
        <v>69.64790723758954</v>
      </c>
      <c r="AP20" s="7" t="s">
        <v>70</v>
      </c>
      <c r="AQ20" s="23">
        <f>SQRT(0.25*$AD$11*$AD$11*SIN($AQ$9+9*$AQ$10)*SIN($AQ$9+9*$AQ$10)+$G$8*$G$8*COS($AQ$9+9*$AQ$10)*COS($AQ$9+9*$AQ$10))</f>
        <v>81.17123323345879</v>
      </c>
      <c r="AT20" s="7" t="s">
        <v>70</v>
      </c>
      <c r="AU20" s="23">
        <f>SQRT($AD$10*$AD$10*SIN($AU$9+9*$AU$10)*SIN($AU$9+9*$AU$10)+$G$8*$G$8*COS($AU$9+9*$AU$10)*COS($AU$9+9*$AU$10))</f>
        <v>45.15293974327135</v>
      </c>
    </row>
    <row r="21" spans="6:47" ht="15.75">
      <c r="F21" s="1" t="s">
        <v>60</v>
      </c>
      <c r="G21" s="15">
        <f>$AM$32</f>
        <v>73.47259415550411</v>
      </c>
      <c r="H21" s="16">
        <f>$AM$32</f>
        <v>73.47259415550411</v>
      </c>
      <c r="I21" s="15" t="s">
        <v>56</v>
      </c>
      <c r="AC21" s="7" t="s">
        <v>36</v>
      </c>
      <c r="AD21">
        <f>($G$8*$G$8*$AD$20)/(0.25*$AD$11*$AD$11*$AD$18)</f>
        <v>0.59422690106361</v>
      </c>
      <c r="AH21" s="7" t="s">
        <v>37</v>
      </c>
      <c r="AI21">
        <f>ATAN($AD$21)</f>
        <v>0.5361637610310643</v>
      </c>
      <c r="AL21" s="7" t="s">
        <v>71</v>
      </c>
      <c r="AM21" s="23">
        <f>SQRT($AD$9*$AD$9*SIN($AM$9+10*$AM$10)*SIN($AM$9+10*$AM$10)+$G$8*$G$8*COS($AM$9+10*$AM$10)*COS($AM$9+10*$AM$10))</f>
        <v>71.52818159575908</v>
      </c>
      <c r="AP21" s="7" t="s">
        <v>71</v>
      </c>
      <c r="AQ21" s="23">
        <f>SQRT(0.25*$AD$11*$AD$11*SIN($AQ$9+10*$AQ$10)*SIN($AQ$9+10*$AQ$10)+$G$8*$G$8*COS($AQ$9+10*$AQ$10)*COS($AQ$9+10*$AQ$10))</f>
        <v>83.5081796201159</v>
      </c>
      <c r="AT21" s="7" t="s">
        <v>71</v>
      </c>
      <c r="AU21" s="23">
        <f>SQRT($AD$10*$AD$10*SIN($AU$9+10*$AU$10)*SIN($AU$9+10*$AU$10)+$G$8*$G$8*COS($AU$9+10*$AU$10)*COS($AU$9+10*$AU$10))</f>
        <v>45.946153801399234</v>
      </c>
    </row>
    <row r="22" spans="6:47" ht="15.75">
      <c r="F22" s="1" t="s">
        <v>5</v>
      </c>
      <c r="G22" s="15">
        <f>$AD$19</f>
        <v>0.6985556165788497</v>
      </c>
      <c r="H22" s="16">
        <f>12*$G$22</f>
        <v>8.382667398946197</v>
      </c>
      <c r="I22" s="15" t="s">
        <v>53</v>
      </c>
      <c r="AC22" s="7" t="s">
        <v>38</v>
      </c>
      <c r="AD22">
        <f>$AD$20*SIN($AI$17)</f>
        <v>43.701603303762454</v>
      </c>
      <c r="AH22" s="7" t="s">
        <v>37</v>
      </c>
      <c r="AI22">
        <f>DEGREES($AI$21)</f>
        <v>30.719920634940824</v>
      </c>
      <c r="AL22" s="7" t="s">
        <v>72</v>
      </c>
      <c r="AM22" s="23">
        <f>SQRT($AD$9*$AD$9*SIN($AM$9+11*$AM$10)*SIN($AM$9+11*$AM$10)+$G$8*$G$8*COS($AM$9+11*$AM$10)*COS($AM$9+11*$AM$10))</f>
        <v>73.25622699304483</v>
      </c>
      <c r="AP22" s="7" t="s">
        <v>72</v>
      </c>
      <c r="AQ22" s="23">
        <f>SQRT(0.25*$AD$11*$AD$11*SIN($AQ$9+11*$AQ$10)*SIN($AQ$9+11*$AQ$10)+$G$8*$G$8*COS($AQ$9+11*$AQ$10)*COS($AQ$9+11*$AQ$10))</f>
        <v>85.65246849902012</v>
      </c>
      <c r="AT22" s="7" t="s">
        <v>72</v>
      </c>
      <c r="AU22" s="23">
        <f>SQRT($AD$10*$AD$10*SIN($AU$9+11*$AU$10)*SIN($AU$9+11*$AU$10)+$G$8*$G$8*COS($AU$9+11*$AU$10)*COS($AU$9+11*$AU$10))</f>
        <v>46.6814437560755</v>
      </c>
    </row>
    <row r="23" spans="6:47" ht="15.75">
      <c r="F23" s="1" t="s">
        <v>4</v>
      </c>
      <c r="G23" s="10">
        <f>$AI$20</f>
        <v>34.936440841105885</v>
      </c>
      <c r="H23" s="2" t="s">
        <v>34</v>
      </c>
      <c r="AC23" s="7" t="s">
        <v>39</v>
      </c>
      <c r="AD23">
        <f>($G$8*$G$8*$AD$22)/($AD$10*$AD$10*$AD$18)</f>
        <v>1.1302867385155422</v>
      </c>
      <c r="AH23" s="7" t="s">
        <v>40</v>
      </c>
      <c r="AI23">
        <f>ATAN($AD$23)</f>
        <v>0.8464813293003979</v>
      </c>
      <c r="AL23" s="7" t="s">
        <v>73</v>
      </c>
      <c r="AM23" s="23">
        <f>SQRT($AD$9*$AD$9*SIN($AM$9+12*$AM$10)*SIN($AM$9+12*$AM$10)+$G$8*$G$8*COS($AM$9+12*$AM$10)*COS($AM$9+12*$AM$10))</f>
        <v>74.82370135517925</v>
      </c>
      <c r="AP23" s="7" t="s">
        <v>73</v>
      </c>
      <c r="AQ23" s="23">
        <f>SQRT(0.25*$AD$11*$AD$11*SIN($AQ$9+12*$AQ$10)*SIN($AQ$9+12*$AQ$10)+$G$8*$G$8*COS($AQ$9+12*$AQ$10)*COS($AQ$9+12*$AQ$10))</f>
        <v>87.59485564668014</v>
      </c>
      <c r="AT23" s="7" t="s">
        <v>73</v>
      </c>
      <c r="AU23" s="23">
        <f>SQRT($AD$10*$AD$10*SIN($AU$9+12*$AU$10)*SIN($AU$9+12*$AU$10)+$G$8*$G$8*COS($AU$9+12*$AU$10)*COS($AU$9+12*$AU$10))</f>
        <v>47.35338299302919</v>
      </c>
    </row>
    <row r="24" spans="6:47" ht="15.75">
      <c r="F24" s="1" t="s">
        <v>54</v>
      </c>
      <c r="G24" s="10">
        <f>$AI$16</f>
        <v>58.282525766697496</v>
      </c>
      <c r="H24" s="2" t="str">
        <f>IF($G$24&gt;90,"exceeds 90 degrees!","degrees")</f>
        <v>degrees</v>
      </c>
      <c r="I24" s="2"/>
      <c r="AC24" s="7" t="s">
        <v>111</v>
      </c>
      <c r="AD24">
        <f>($AD$9-$AD$8)/TAN($AI$15)</f>
        <v>6.29839669623754</v>
      </c>
      <c r="AH24" s="7" t="s">
        <v>40</v>
      </c>
      <c r="AI24">
        <f>DEGREES($AI$23)</f>
        <v>48.499807605536425</v>
      </c>
      <c r="AL24" s="7" t="s">
        <v>74</v>
      </c>
      <c r="AM24" s="23">
        <f>SQRT($AD$9*$AD$9*SIN($AM$9+13*$AM$10)*SIN($AM$9+13*$AM$10)+$G$8*$G$8*COS($AM$9+13*$AM$10)*COS($AM$9+13*$AM$10))</f>
        <v>76.22330843696783</v>
      </c>
      <c r="AP24" s="7" t="s">
        <v>74</v>
      </c>
      <c r="AQ24" s="23">
        <f>SQRT(0.25*$AD$11*$AD$11*SIN($AQ$9+13*$AQ$10)*SIN($AQ$9+13*$AQ$10)+$G$8*$G$8*COS($AQ$9+13*$AQ$10)*COS($AQ$9+13*$AQ$10))</f>
        <v>89.32723061985612</v>
      </c>
      <c r="AT24" s="7" t="s">
        <v>74</v>
      </c>
      <c r="AU24" s="23">
        <f>SQRT($AD$10*$AD$10*SIN($AU$9+13*$AU$10)*SIN($AU$9+13*$AU$10)+$G$8*$G$8*COS($AU$9+13*$AU$10)*COS($AU$9+13*$AU$10))</f>
        <v>47.957191551840765</v>
      </c>
    </row>
    <row r="25" spans="6:47" ht="15.75">
      <c r="F25" s="26" t="s">
        <v>10</v>
      </c>
      <c r="G25" s="10"/>
      <c r="H25" s="2"/>
      <c r="I25" s="2"/>
      <c r="AC25" s="7" t="s">
        <v>112</v>
      </c>
      <c r="AD25">
        <f>($AD$10-$AD$22)/TAN($AI$17)</f>
        <v>10.191020000000027</v>
      </c>
      <c r="AL25" s="7" t="s">
        <v>75</v>
      </c>
      <c r="AM25" s="23">
        <f>SQRT($AD$9*$AD$9*SIN($AM$9+14*$AM$10)*SIN($AM$9+14*$AM$10)+$G$8*$G$8*COS($AM$9+14*$AM$10)*COS($AM$9+14*$AM$10))</f>
        <v>77.44872906347457</v>
      </c>
      <c r="AP25" s="7" t="s">
        <v>75</v>
      </c>
      <c r="AQ25" s="23">
        <f>SQRT(0.25*$AD$11*$AD$11*SIN($AQ$9+14*$AQ$10)*SIN($AQ$9+14*$AQ$10)+$G$8*$G$8*COS($AQ$9+14*$AQ$10)*COS($AQ$9+14*$AQ$10))</f>
        <v>90.84254860848223</v>
      </c>
      <c r="AT25" s="7" t="s">
        <v>75</v>
      </c>
      <c r="AU25" s="23">
        <f>SQRT($AD$10*$AD$10*SIN($AU$9+14*$AU$10)*SIN($AU$9+14*$AU$10)+$G$8*$G$8*COS($AU$9+14*$AU$10)*COS($AU$9+14*$AU$10))</f>
        <v>48.48871000561408</v>
      </c>
    </row>
    <row r="26" spans="5:47" ht="15.75">
      <c r="E26" s="6"/>
      <c r="F26" s="1" t="s">
        <v>3</v>
      </c>
      <c r="G26" s="10">
        <f>$AI$26</f>
        <v>63.13063987399737</v>
      </c>
      <c r="H26" s="2" t="s">
        <v>34</v>
      </c>
      <c r="I26" s="2"/>
      <c r="AC26" s="7"/>
      <c r="AH26" s="7" t="s">
        <v>42</v>
      </c>
      <c r="AI26">
        <f>DEGREES(ATAN(TAN($AI$15)/COS($AI$19)))</f>
        <v>63.13063987399737</v>
      </c>
      <c r="AL26" s="7" t="s">
        <v>76</v>
      </c>
      <c r="AM26" s="23">
        <f>SQRT($AD$9*$AD$9*SIN($AM$9+15*$AM$10)*SIN($AM$9+15*$AM$10)+$G$8*$G$8*COS($AM$9+15*$AM$10)*COS($AM$9+15*$AM$10))</f>
        <v>78.49456863240681</v>
      </c>
      <c r="AP26" s="7" t="s">
        <v>76</v>
      </c>
      <c r="AQ26" s="23">
        <f>SQRT(0.25*$AD$11*$AD$11*SIN($AQ$9+15*$AQ$10)*SIN($AQ$9+15*$AQ$10)+$G$8*$G$8*COS($AQ$9+15*$AQ$10)*COS($AQ$9+15*$AQ$10))</f>
        <v>92.13477971308534</v>
      </c>
      <c r="AT26" s="7" t="s">
        <v>76</v>
      </c>
      <c r="AU26" s="23">
        <f>SQRT($AD$10*$AD$10*SIN($AU$9+15*$AU$10)*SIN($AU$9+15*$AU$10)+$G$8*$G$8*COS($AU$9+15*$AU$10)*COS($AU$9+15*$AU$10))</f>
        <v>48.94437682980778</v>
      </c>
    </row>
    <row r="27" spans="6:47" ht="15.75">
      <c r="F27" s="1" t="s">
        <v>2</v>
      </c>
      <c r="G27" s="10">
        <f>$AI$27</f>
        <v>26.86936012600263</v>
      </c>
      <c r="H27" s="2" t="s">
        <v>34</v>
      </c>
      <c r="I27" s="2"/>
      <c r="AC27" s="36"/>
      <c r="AD27" s="31" t="s">
        <v>115</v>
      </c>
      <c r="AH27" s="7" t="s">
        <v>43</v>
      </c>
      <c r="AI27">
        <f>DEGREES(ATAN(COS($AI$19)/TAN($AI$15)))</f>
        <v>26.86936012600263</v>
      </c>
      <c r="AL27" s="7" t="s">
        <v>77</v>
      </c>
      <c r="AM27" s="23">
        <f>SQRT($AD$9*$AD$9*SIN($AM$9+16*$AM$10)*SIN($AM$9+16*$AM$10)+$G$8*$G$8*COS($AM$9+16*$AM$10)*COS($AM$9+16*$AM$10))</f>
        <v>79.356317258819</v>
      </c>
      <c r="AP27" s="7" t="s">
        <v>77</v>
      </c>
      <c r="AQ27" s="23">
        <f>SQRT(0.25*$AD$11*$AD$11*SIN($AQ$9+16*$AQ$10)*SIN($AQ$9+16*$AQ$10)+$G$8*$G$8*COS($AQ$9+16*$AQ$10)*COS($AQ$9+16*$AQ$10))</f>
        <v>93.1988713539658</v>
      </c>
      <c r="AT27" s="7" t="s">
        <v>77</v>
      </c>
      <c r="AU27" s="23">
        <f>SQRT($AD$10*$AD$10*SIN($AU$9+16*$AU$10)*SIN($AU$9+16*$AU$10)+$G$8*$G$8*COS($AU$9+16*$AU$10)*COS($AU$9+16*$AU$10))</f>
        <v>49.32120925339774</v>
      </c>
    </row>
    <row r="28" spans="6:47" ht="15.75">
      <c r="F28" s="1" t="s">
        <v>1</v>
      </c>
      <c r="G28" s="10">
        <f>$AI$28</f>
        <v>17.521824625260574</v>
      </c>
      <c r="H28" s="2" t="s">
        <v>34</v>
      </c>
      <c r="I28" s="2"/>
      <c r="AC28" s="32"/>
      <c r="AD28" s="33" t="s">
        <v>116</v>
      </c>
      <c r="AH28" s="7" t="s">
        <v>41</v>
      </c>
      <c r="AI28">
        <f>DEGREES(ASIN(SIN($AI$19)*$AI$11/$AI$13))</f>
        <v>17.521824625260574</v>
      </c>
      <c r="AL28" s="7" t="s">
        <v>78</v>
      </c>
      <c r="AM28" s="23">
        <f>SQRT($AD$9*$AD$9*SIN($AM$9+17*$AM$10)*SIN($AM$9+17*$AM$10)+$G$8*$G$8*COS($AM$9+17*$AM$10)*COS($AM$9+17*$AM$10))</f>
        <v>80.03031981923588</v>
      </c>
      <c r="AP28" s="7" t="s">
        <v>78</v>
      </c>
      <c r="AQ28" s="23">
        <f>SQRT(0.25*$AD$11*$AD$11*SIN($AQ$9+17*$AQ$10)*SIN($AQ$9+17*$AQ$10)+$G$8*$G$8*COS($AQ$9+17*$AQ$10)*COS($AQ$9+17*$AQ$10))</f>
        <v>94.03072064814495</v>
      </c>
      <c r="AT28" s="7" t="s">
        <v>78</v>
      </c>
      <c r="AU28" s="23">
        <f>SQRT($AD$10*$AD$10*SIN($AU$9+17*$AU$10)*SIN($AU$9+17*$AU$10)+$G$8*$G$8*COS($AU$9+17*$AU$10)*COS($AU$9+17*$AU$10))</f>
        <v>49.616787473794865</v>
      </c>
    </row>
    <row r="29" spans="6:47" ht="15.75">
      <c r="F29" s="26" t="s">
        <v>9</v>
      </c>
      <c r="G29" s="10"/>
      <c r="H29" s="2"/>
      <c r="I29" s="2"/>
      <c r="AC29" s="32"/>
      <c r="AD29" s="33" t="s">
        <v>117</v>
      </c>
      <c r="AH29" s="7" t="s">
        <v>44</v>
      </c>
      <c r="AI29">
        <f>DEGREES(ATAN(TAN($AI$15)/SIN($AI$19)))</f>
        <v>70.50970772276952</v>
      </c>
      <c r="AL29" s="7" t="s">
        <v>79</v>
      </c>
      <c r="AM29" s="23">
        <f>SQRT($AD$9*$AD$9*SIN($AM$9+18*$AM$10)*SIN($AM$9+18*$AM$10)+$G$8*$G$8*COS($AM$9+18*$AM$10)*COS($AM$9+18*$AM$10))</f>
        <v>80.51375383553115</v>
      </c>
      <c r="AP29" s="7" t="s">
        <v>79</v>
      </c>
      <c r="AQ29" s="23">
        <f>SQRT(0.25*$AD$11*$AD$11*SIN($AQ$9+18*$AQ$10)*SIN($AQ$9+18*$AQ$10)+$G$8*$G$8*COS($AQ$9+18*$AQ$10)*COS($AQ$9+18*$AQ$10))</f>
        <v>94.62715443219903</v>
      </c>
      <c r="AT29" s="7" t="s">
        <v>79</v>
      </c>
      <c r="AU29" s="23">
        <f>SQRT($AD$10*$AD$10*SIN($AU$9+18*$AU$10)*SIN($AU$9+18*$AU$10)+$G$8*$G$8*COS($AU$9+18*$AU$10)*COS($AU$9+18*$AU$10))</f>
        <v>49.829242067050025</v>
      </c>
    </row>
    <row r="30" spans="6:47" ht="15.75">
      <c r="F30" s="1" t="s">
        <v>3</v>
      </c>
      <c r="G30" s="10">
        <f>$AI$29</f>
        <v>70.50970772276952</v>
      </c>
      <c r="H30" s="2" t="s">
        <v>34</v>
      </c>
      <c r="I30" s="2"/>
      <c r="AC30" s="32"/>
      <c r="AD30" s="33" t="s">
        <v>118</v>
      </c>
      <c r="AH30" s="7" t="s">
        <v>45</v>
      </c>
      <c r="AI30">
        <f>DEGREES(ATAN(SIN($AI$19)/TAN($AI$15)))</f>
        <v>19.49029227723049</v>
      </c>
      <c r="AL30" s="7" t="s">
        <v>80</v>
      </c>
      <c r="AM30" s="23">
        <f>SQRT($AD$9*$AD$9*SIN($AM$9+19*$AM$10)*SIN($AM$9+19*$AM$10)+$G$8*$G$8*COS($AM$9+19*$AM$10)*COS($AM$9+19*$AM$10))</f>
        <v>80.80461367791911</v>
      </c>
      <c r="AP30" s="7" t="s">
        <v>80</v>
      </c>
      <c r="AQ30" s="23">
        <f>SQRT(0.25*$AD$11*$AD$11*SIN($AQ$9+19*$AQ$10)*SIN($AQ$9+19*$AQ$10)+$G$8*$G$8*COS($AQ$9+19*$AQ$10)*COS($AQ$9+19*$AQ$10))</f>
        <v>94.98591524830768</v>
      </c>
      <c r="AT30" s="7" t="s">
        <v>80</v>
      </c>
      <c r="AU30" s="23">
        <f>SQRT($AD$10*$AD$10*SIN($AU$9+19*$AU$10)*SIN($AU$9+19*$AU$10)+$G$8*$G$8*COS($AU$9+19*$AU$10)*COS($AU$9+19*$AU$10))</f>
        <v>49.9572444163225</v>
      </c>
    </row>
    <row r="31" spans="5:47" ht="15.75">
      <c r="E31" s="7"/>
      <c r="F31" s="1" t="s">
        <v>2</v>
      </c>
      <c r="G31" s="10">
        <f>$AI$30</f>
        <v>19.49029227723049</v>
      </c>
      <c r="H31" s="2" t="s">
        <v>34</v>
      </c>
      <c r="I31" s="2"/>
      <c r="AC31" s="32"/>
      <c r="AD31" s="33" t="s">
        <v>119</v>
      </c>
      <c r="AH31" s="7" t="s">
        <v>46</v>
      </c>
      <c r="AI31">
        <f>DEGREES(ASIN(COS($AI$19)*$AI$11/$AI$13))</f>
        <v>25.530274857524507</v>
      </c>
      <c r="AL31" s="7" t="s">
        <v>81</v>
      </c>
      <c r="AM31" s="23">
        <f>SQRT($AD$9*$AD$9*SIN($AM$9+20*$AM$10)*SIN($AM$9+20*$AM$10)+$G$8*$G$8*COS($AM$9+20*$AM$10)*COS($AM$9+20*$AM$10))</f>
        <v>80.9017</v>
      </c>
      <c r="AP31" s="7" t="s">
        <v>81</v>
      </c>
      <c r="AQ31" s="23">
        <f>SQRT(0.25*$AD$11*$AD$11*SIN($AQ$9+20*$AQ$10)*SIN($AQ$9+20*$AQ$10)+$G$8*$G$8*COS($AQ$9+20*$AQ$10)*COS($AQ$9+20*$AQ$10))</f>
        <v>95.10565210801093</v>
      </c>
      <c r="AT31" s="7" t="s">
        <v>81</v>
      </c>
      <c r="AU31" s="23">
        <f>SQRT($AD$10*$AD$10*SIN($AU$9+20*$AU$10)*SIN($AU$9+20*$AU$10)+$G$8*$G$8*COS($AU$9+20*$AU$10)*COS($AU$9+20*$AU$10))</f>
        <v>50</v>
      </c>
    </row>
    <row r="32" spans="5:47" ht="15.75">
      <c r="E32" s="7"/>
      <c r="F32" s="1" t="s">
        <v>1</v>
      </c>
      <c r="G32" s="10">
        <f>$AI$31</f>
        <v>25.530274857524507</v>
      </c>
      <c r="H32" s="2" t="s">
        <v>34</v>
      </c>
      <c r="I32" s="2"/>
      <c r="AC32" s="34"/>
      <c r="AD32" s="35" t="s">
        <v>120</v>
      </c>
      <c r="AH32" s="7" t="s">
        <v>106</v>
      </c>
      <c r="AI32">
        <f>DEGREES(ATAN($AI$13*TAN($AI$15)/(SIN($AI$19)*COS($AI$19)*$AI$11)))</f>
        <v>81.32703353013007</v>
      </c>
      <c r="AL32" s="7" t="s">
        <v>83</v>
      </c>
      <c r="AM32" s="23">
        <f>($AM$10/3)*($AM$11+4*$AM$12+2*$AM$13+4*$AM$14+2*$AM$15+4*$AM$16+2*$AM$17+4*$AM$18+2*$AM$19+4*$AM$20+2*$AM$21+4*$AM$22+2*$AM$23+4*$AM$24+2*$AM$25+4*$AM$26+2*$AM$27+4*$AM$28+2*$AM$29+4*$AM$30+$AM$31)</f>
        <v>73.47259415550411</v>
      </c>
      <c r="AP32" s="7" t="s">
        <v>83</v>
      </c>
      <c r="AQ32" s="23">
        <f>($AQ$10/3)*($AQ$11+4*$AQ$12+2*$AQ$13+4*$AQ$14+2*$AQ$15+4*$AQ$16+2*$AQ$17+4*$AQ$18+2*$AQ$19+4*$AQ$20+2*$AQ$21+4*$AQ$22+2*$AQ$23+4*$AQ$24+2*$AQ$25+4*$AQ$26+2*$AQ$27+4*$AQ$28+2*$AQ$29+4*$AQ$30+$AQ$31)</f>
        <v>85.50493219661867</v>
      </c>
      <c r="AT32" s="7" t="s">
        <v>83</v>
      </c>
      <c r="AU32" s="23">
        <f>($AU$10/3)*($AU$11+4*$AU$12+2*$AU$13+4*$AU$14+2*$AU$15+4*$AU$16+2*$AU$17+4*$AU$18+2*$AU$19+4*$AU$20+2*$AU$21+4*$AU$22+2*$AU$23+4*$AU$24+2*$AU$25+4*$AU$26+2*$AU$27+4*$AU$28+2*$AU$29+4*$AU$30+$AU$31)</f>
        <v>47.89366033943523</v>
      </c>
    </row>
    <row r="33" spans="6:35" ht="15.75">
      <c r="F33" s="26" t="s">
        <v>126</v>
      </c>
      <c r="AH33" s="7" t="s">
        <v>108</v>
      </c>
      <c r="AI33">
        <f>DEGREES(ATAN(SIN($AI$19)*COS($AI$19)*$AI$11/($AI$13*TAN($AI$15))))</f>
        <v>8.672966469869943</v>
      </c>
    </row>
    <row r="34" spans="6:47" ht="15.75">
      <c r="F34" s="1" t="s">
        <v>110</v>
      </c>
      <c r="G34" s="10">
        <f>$AI$32</f>
        <v>81.32703353013007</v>
      </c>
      <c r="H34" s="2" t="s">
        <v>34</v>
      </c>
      <c r="AM34" t="s">
        <v>96</v>
      </c>
      <c r="AN34" s="7"/>
      <c r="AQ34" t="s">
        <v>103</v>
      </c>
      <c r="AU34" t="s">
        <v>104</v>
      </c>
    </row>
    <row r="35" spans="6:47" ht="15.75">
      <c r="F35" s="1" t="s">
        <v>122</v>
      </c>
      <c r="G35" s="10">
        <f>$AI$33</f>
        <v>8.672966469869943</v>
      </c>
      <c r="H35" s="2" t="s">
        <v>34</v>
      </c>
      <c r="AH35" s="7" t="s">
        <v>47</v>
      </c>
      <c r="AI35">
        <f>DEGREES(ATAN(TAN($AI$17)/COS($AI$23)))</f>
        <v>43.00594013589119</v>
      </c>
      <c r="AL35" s="7" t="s">
        <v>98</v>
      </c>
      <c r="AM35" s="23">
        <f>0.5*PI()</f>
        <v>1.5707963267948966</v>
      </c>
      <c r="AN35" s="7"/>
      <c r="AP35" s="7" t="s">
        <v>98</v>
      </c>
      <c r="AQ35" s="23">
        <f>0.5*PI()</f>
        <v>1.5707963267948966</v>
      </c>
      <c r="AT35" s="7" t="s">
        <v>98</v>
      </c>
      <c r="AU35" s="23">
        <f>0.5*PI()</f>
        <v>1.5707963267948966</v>
      </c>
    </row>
    <row r="36" spans="34:47" ht="12.75">
      <c r="AH36" s="7" t="s">
        <v>48</v>
      </c>
      <c r="AI36">
        <f>DEGREES(ATAN(COS($AI$23)/TAN($AI$17)))</f>
        <v>46.99405986410882</v>
      </c>
      <c r="AL36" s="7" t="s">
        <v>97</v>
      </c>
      <c r="AM36" s="23">
        <f>PI()/40</f>
        <v>0.07853981633974483</v>
      </c>
      <c r="AN36" s="7"/>
      <c r="AP36" s="7" t="s">
        <v>97</v>
      </c>
      <c r="AQ36" s="23">
        <f>PI()/40</f>
        <v>0.07853981633974483</v>
      </c>
      <c r="AT36" s="7" t="s">
        <v>97</v>
      </c>
      <c r="AU36" s="23">
        <f>PI()/40</f>
        <v>0.07853981633974483</v>
      </c>
    </row>
    <row r="37" spans="6:47" ht="18.75">
      <c r="F37" s="17" t="s">
        <v>11</v>
      </c>
      <c r="G37" s="18" t="str">
        <f>IF($G$8&gt;0.5*$AD$11," Major Axis on y-axis"," Major Axis on x-axis")</f>
        <v> Major Axis on x-axis</v>
      </c>
      <c r="H37" s="2"/>
      <c r="I37" s="2"/>
      <c r="AH37" s="7" t="s">
        <v>49</v>
      </c>
      <c r="AI37">
        <f>DEGREES(ASIN(SIN($AI$23)*$AI$12/$AI$14))</f>
        <v>39.57575587068552</v>
      </c>
      <c r="AL37" s="7" t="s">
        <v>61</v>
      </c>
      <c r="AM37" s="23">
        <f>SQRT($AD$9*$AD$9*SIN($AM$35)*SIN($AM$35)+$G$8*$G$8*COS($AM$35)*COS($AM$35))</f>
        <v>80.9017</v>
      </c>
      <c r="AN37" s="7"/>
      <c r="AP37" s="7" t="s">
        <v>61</v>
      </c>
      <c r="AQ37" s="23">
        <f>SQRT(0.25*$AD$11*$AD$11*SIN($AQ$35)*SIN($AQ$35)+$G$8*$G$8*COS($AQ$35)*COS($AQ$35))</f>
        <v>95.10565210801093</v>
      </c>
      <c r="AT37" s="7" t="s">
        <v>61</v>
      </c>
      <c r="AU37" s="23">
        <f>SQRT($AD$10*$AD$10*SIN($AU$35)*SIN($AU$35)+$G$8*$G$8*COS($AU$35)*COS($AU$35))</f>
        <v>50</v>
      </c>
    </row>
    <row r="38" spans="6:47" ht="15.75">
      <c r="F38" s="1" t="s">
        <v>100</v>
      </c>
      <c r="G38" s="15">
        <f>$AQ$58</f>
        <v>105.77166430799176</v>
      </c>
      <c r="H38" s="16">
        <f>$AQ$58</f>
        <v>105.77166430799176</v>
      </c>
      <c r="I38" s="15" t="s">
        <v>56</v>
      </c>
      <c r="AH38" s="7" t="s">
        <v>50</v>
      </c>
      <c r="AI38">
        <f>DEGREES(ATAN(TAN($AI$17)/SIN($AI$23)))</f>
        <v>39.529337934131384</v>
      </c>
      <c r="AL38" s="7" t="s">
        <v>63</v>
      </c>
      <c r="AM38" s="23">
        <f>SQRT($AD$9*$AD$9*SIN($AM$35+$AM$36)*SIN($AM$35+$AM$36)+$G$8*$G$8*COS($AM$35+$AM$36)*COS($AM$35+$AM$36))</f>
        <v>80.68996338900708</v>
      </c>
      <c r="AN38" s="7"/>
      <c r="AP38" s="7" t="s">
        <v>63</v>
      </c>
      <c r="AQ38" s="23">
        <f>SQRT(0.25*$AD$11*$AD$11*SIN($AQ$35+$AQ$36)*SIN($AQ$35+$AQ$36)+$G$8*$G$8*COS($AQ$35+$AQ$36)*COS($AQ$35+$AQ$36))</f>
        <v>94.84450757668168</v>
      </c>
      <c r="AT38" s="7" t="s">
        <v>63</v>
      </c>
      <c r="AU38" s="23">
        <f>SQRT($AD$10*$AD$10*SIN($AU$35+$AU$36)*SIN($AU$35+$AU$36)+$G$8*$G$8*COS($AU$35+$AU$36)*COS($AU$35+$AU$36))</f>
        <v>49.90677292320453</v>
      </c>
    </row>
    <row r="39" spans="6:47" ht="15.75">
      <c r="F39" s="1" t="s">
        <v>99</v>
      </c>
      <c r="G39" s="15">
        <f>$AD$11</f>
        <v>190.21130421602186</v>
      </c>
      <c r="H39" s="16">
        <f>$AD$11</f>
        <v>190.21130421602186</v>
      </c>
      <c r="I39" s="15" t="s">
        <v>56</v>
      </c>
      <c r="AH39" s="7" t="s">
        <v>51</v>
      </c>
      <c r="AI39">
        <f>DEGREES(ATAN(SIN($AI$23)/TAN($AI$17)))</f>
        <v>50.47066206586862</v>
      </c>
      <c r="AL39" s="7" t="s">
        <v>62</v>
      </c>
      <c r="AM39" s="23">
        <f>SQRT($AD$9*$AD$9*SIN($AM$35+2*$AM$36)*SIN($AM$35+2*$AM$36)+$G$8*$G$8*COS($AM$35+2*$AM$36)*COS($AM$35+2*$AM$36))</f>
        <v>80.05665532538865</v>
      </c>
      <c r="AN39" s="7"/>
      <c r="AP39" s="7" t="s">
        <v>62</v>
      </c>
      <c r="AQ39" s="23">
        <f>SQRT(0.25*$AD$11*$AD$11*SIN($AQ$35+2*$AQ$36)*SIN($AQ$35+2*$AQ$36)+$G$8*$G$8*COS($AQ$35+2*$AQ$36)*COS($AQ$35+2*$AQ$36))</f>
        <v>94.0632165474742</v>
      </c>
      <c r="AT39" s="7" t="s">
        <v>62</v>
      </c>
      <c r="AU39" s="23">
        <f>SQRT($AD$10*$AD$10*SIN($AU$35+2*$AU$36)*SIN($AU$35+2*$AU$36)+$G$8*$G$8*COS($AU$35+2*$AU$36)*COS($AU$35+2*$AU$36))</f>
        <v>49.62835153849274</v>
      </c>
    </row>
    <row r="40" spans="4:47" ht="15.75">
      <c r="D40" s="10" t="str">
        <f>IF($G$8&gt;0.5*$AD$11,"on y-axis","on x-axis")</f>
        <v>on x-axis</v>
      </c>
      <c r="F40" s="1" t="s">
        <v>6</v>
      </c>
      <c r="G40" s="15">
        <f>IF(0.5*$AD$11&gt;$G$8,$AD$14,$AD$15)</f>
        <v>89.76705984626881</v>
      </c>
      <c r="H40" s="16">
        <f>IF(0.5*$AD$11&gt;$G$8,$AD$14,$AD$15)</f>
        <v>89.76705984626881</v>
      </c>
      <c r="I40" s="15" t="s">
        <v>56</v>
      </c>
      <c r="AH40" s="7" t="s">
        <v>52</v>
      </c>
      <c r="AI40">
        <f>DEGREES(ASIN(COS($AI$23)*$AI$12/$AI$14))</f>
        <v>34.309320107629034</v>
      </c>
      <c r="AL40" s="27" t="s">
        <v>64</v>
      </c>
      <c r="AM40" s="23">
        <f>SQRT($AD$9*$AD$9*SIN($AM$35+3*$AM$36)*SIN($AM$35+3*$AM$36)+$G$8*$G$8*COS($AM$35+3*$AM$36)*COS($AM$35+3*$AM$36))</f>
        <v>79.00750204692382</v>
      </c>
      <c r="AN40" s="7"/>
      <c r="AP40" s="7" t="s">
        <v>64</v>
      </c>
      <c r="AQ40" s="23">
        <f>SQRT(0.25*$AD$11*$AD$11*SIN($AQ$35+3*$AQ$36)*SIN($AQ$35+3*$AQ$36)+$G$8*$G$8*COS($AQ$35+3*$AQ$36)*COS($AQ$35+3*$AQ$36))</f>
        <v>92.76822481286432</v>
      </c>
      <c r="AT40" s="7" t="s">
        <v>64</v>
      </c>
      <c r="AU40" s="23">
        <f>SQRT($AD$10*$AD$10*SIN($AU$35+3*$AU$36)*SIN($AU$35+3*$AU$36)+$G$8*$G$8*COS($AU$35+3*$AU$36)*COS($AU$35+3*$AU$36))</f>
        <v>49.16852913484109</v>
      </c>
    </row>
    <row r="41" spans="6:47" ht="15.75">
      <c r="F41" s="1" t="s">
        <v>12</v>
      </c>
      <c r="G41" s="15">
        <f>$AD$20</f>
        <v>83.12538960739867</v>
      </c>
      <c r="H41" s="16">
        <f>$AD$20</f>
        <v>83.12538960739867</v>
      </c>
      <c r="I41" s="15" t="s">
        <v>56</v>
      </c>
      <c r="AH41" s="7" t="s">
        <v>107</v>
      </c>
      <c r="AI41">
        <f>DEGREES(ATAN($AI$14*TAN($AI$17)/(SIN($AI$23)*COS($AI$23)*$AI$12)))</f>
        <v>55.66450718057461</v>
      </c>
      <c r="AL41" s="7" t="s">
        <v>65</v>
      </c>
      <c r="AM41" s="23">
        <f>SQRT($AD$9*$AD$9*SIN($AM$35+4*$AM$36)*SIN($AM$35+4*$AM$36)+$G$8*$G$8*COS($AM$35+4*$AM$36)*COS($AM$35+4*$AM$36))</f>
        <v>77.55212022005942</v>
      </c>
      <c r="AN41" s="7"/>
      <c r="AP41" s="7" t="s">
        <v>65</v>
      </c>
      <c r="AQ41" s="23">
        <f>SQRT(0.25*$AD$11*$AD$11*SIN($AQ$35+4*$AQ$36)*SIN($AQ$35+4*$AQ$36)+$G$8*$G$8*COS($AQ$35+4*$AQ$36)*COS($AQ$35+4*$AQ$36))</f>
        <v>90.97033908695315</v>
      </c>
      <c r="AT41" s="7" t="s">
        <v>65</v>
      </c>
      <c r="AU41" s="23">
        <f>SQRT($AD$10*$AD$10*SIN($AU$35+4*$AU$36)*SIN($AU$35+4*$AU$36)+$G$8*$G$8*COS($AU$35+4*$AU$36)*COS($AU$35+4*$AU$36))</f>
        <v>48.53367428287721</v>
      </c>
    </row>
    <row r="42" spans="6:47" ht="15.75">
      <c r="F42" s="1" t="s">
        <v>60</v>
      </c>
      <c r="G42" s="15">
        <f>$AQ$32</f>
        <v>85.50493219661867</v>
      </c>
      <c r="H42" s="16">
        <f>$AQ$32</f>
        <v>85.50493219661867</v>
      </c>
      <c r="I42" s="15" t="s">
        <v>56</v>
      </c>
      <c r="AH42" s="7" t="s">
        <v>109</v>
      </c>
      <c r="AI42">
        <f>DEGREES(ATAN(SIN($AI$23)*COS($AI$23)*$AI$12/($AI$14*TAN($AI$17))))</f>
        <v>34.33549281942538</v>
      </c>
      <c r="AL42" s="7" t="s">
        <v>66</v>
      </c>
      <c r="AM42" s="23">
        <f>SQRT($AD$9*$AD$9*SIN($AM$35+5*$AM$36)*SIN($AM$35+5*$AM$36)+$G$8*$G$8*COS($AM$35+5*$AM$36)*COS($AM$35+5*$AM$36))</f>
        <v>75.70413791255758</v>
      </c>
      <c r="AP42" s="7" t="s">
        <v>66</v>
      </c>
      <c r="AQ42" s="23">
        <f>SQRT(0.25*$AD$11*$AD$11*SIN($AQ$35+5*$AQ$36)*SIN($AQ$35+5*$AQ$36)+$G$8*$G$8*COS($AQ$35+5*$AQ$36)*COS($AQ$35+5*$AQ$36))</f>
        <v>88.68483508225476</v>
      </c>
      <c r="AT42" s="7" t="s">
        <v>66</v>
      </c>
      <c r="AU42" s="23">
        <f>SQRT($AD$10*$AD$10*SIN($AU$35+5*$AU$36)*SIN($AU$35+5*$AU$36)+$G$8*$G$8*COS($AU$35+5*$AU$36)*COS($AU$35+5*$AU$36))</f>
        <v>47.732802415273845</v>
      </c>
    </row>
    <row r="43" spans="6:47" ht="15.75">
      <c r="F43" s="1" t="s">
        <v>5</v>
      </c>
      <c r="G43" s="15">
        <f>$AD$21</f>
        <v>0.59422690106361</v>
      </c>
      <c r="H43" s="16">
        <f>12*$G$43</f>
        <v>7.13072281276332</v>
      </c>
      <c r="I43" s="15" t="s">
        <v>53</v>
      </c>
      <c r="AL43" s="7" t="s">
        <v>67</v>
      </c>
      <c r="AM43" s="23">
        <f>SQRT($AD$9*$AD$9*SIN($AM$35+6*$AM$36)*SIN($AM$35+6*$AM$36)+$G$8*$G$8*COS($AM$35+6*$AM$36)*COS($AM$35+6*$AM$36))</f>
        <v>73.4813888593301</v>
      </c>
      <c r="AP43" s="7" t="s">
        <v>67</v>
      </c>
      <c r="AQ43" s="23">
        <f>SQRT(0.25*$AD$11*$AD$11*SIN($AQ$35+6*$AQ$36)*SIN($AQ$35+6*$AQ$36)+$G$8*$G$8*COS($AQ$35+6*$AQ$36)*COS($AQ$35+6*$AQ$36))</f>
        <v>85.93163604902256</v>
      </c>
      <c r="AT43" s="7" t="s">
        <v>67</v>
      </c>
      <c r="AU43" s="23">
        <f>SQRT($AD$10*$AD$10*SIN($AU$35+6*$AU$36)*SIN($AU$35+6*$AU$36)+$G$8*$G$8*COS($AU$35+6*$AU$36)*COS($AU$35+6*$AU$36))</f>
        <v>46.777679561233285</v>
      </c>
    </row>
    <row r="44" spans="6:47" ht="15.75">
      <c r="F44" s="1" t="s">
        <v>4</v>
      </c>
      <c r="G44" s="10">
        <f>$AI$22</f>
        <v>30.719920634940824</v>
      </c>
      <c r="H44" s="2" t="s">
        <v>34</v>
      </c>
      <c r="I44" s="2"/>
      <c r="AL44" s="7" t="s">
        <v>68</v>
      </c>
      <c r="AM44" s="23">
        <f>SQRT($AD$9*$AD$9*SIN($AM$35+7*$AM$36)*SIN($AM$35+7*$AM$36)+$G$8*$G$8*COS($AM$35+7*$AM$36)*COS($AM$35+7*$AM$36))</f>
        <v>70.90620936802485</v>
      </c>
      <c r="AP44" s="7" t="s">
        <v>68</v>
      </c>
      <c r="AQ44" s="23">
        <f>SQRT(0.25*$AD$11*$AD$11*SIN($AQ$35+7*$AQ$36)*SIN($AQ$35+7*$AQ$36)+$G$8*$G$8*COS($AQ$35+7*$AQ$36)*COS($AQ$35+7*$AQ$36))</f>
        <v>82.73559482844497</v>
      </c>
      <c r="AT44" s="7" t="s">
        <v>68</v>
      </c>
      <c r="AU44" s="23">
        <f>SQRT($AD$10*$AD$10*SIN($AU$35+7*$AU$36)*SIN($AU$35+7*$AU$36)+$G$8*$G$8*COS($AU$35+7*$AU$36)*COS($AU$35+7*$AU$36))</f>
        <v>45.68296072828434</v>
      </c>
    </row>
    <row r="45" spans="38:47" ht="12.75">
      <c r="AL45" s="7" t="s">
        <v>69</v>
      </c>
      <c r="AM45" s="23">
        <f>SQRT($AD$9*$AD$9*SIN($AM$35+8*$AM$36)*SIN($AM$35+8*$AM$36)+$G$8*$G$8*COS($AM$35+8*$AM$36)*COS($AM$35+8*$AM$36))</f>
        <v>68.00588277690136</v>
      </c>
      <c r="AP45" s="7" t="s">
        <v>69</v>
      </c>
      <c r="AQ45" s="23">
        <f>SQRT(0.25*$AD$11*$AD$11*SIN($AQ$35+8*$AQ$36)*SIN($AQ$35+8*$AQ$36)+$G$8*$G$8*COS($AQ$35+8*$AQ$36)*COS($AQ$35+8*$AQ$36))</f>
        <v>79.12693179464458</v>
      </c>
      <c r="AT45" s="7" t="s">
        <v>69</v>
      </c>
      <c r="AU45" s="23">
        <f>SQRT($AD$10*$AD$10*SIN($AU$35+8*$AU$36)*SIN($AU$35+8*$AU$36)+$G$8*$G$8*COS($AU$35+8*$AU$36)*COS($AU$35+8*$AU$36))</f>
        <v>44.46636421788964</v>
      </c>
    </row>
    <row r="46" spans="6:47" ht="18.75">
      <c r="F46" s="8" t="s">
        <v>93</v>
      </c>
      <c r="G46" s="19" t="str">
        <f>IF($G$8&gt;$AD$10," Major Axis on y-axis"," Major Axis on x-axis")</f>
        <v> Major Axis on x-axis</v>
      </c>
      <c r="H46" s="2"/>
      <c r="I46" s="2"/>
      <c r="AL46" s="7" t="s">
        <v>70</v>
      </c>
      <c r="AM46" s="23">
        <f>SQRT($AD$9*$AD$9*SIN($AM$35+9*$AM$36)*SIN($AM$35+9*$AM$36)+$G$8*$G$8*COS($AM$35+9*$AM$36)*COS($AM$35+9*$AM$36))</f>
        <v>64.81329882273339</v>
      </c>
      <c r="AP46" s="7" t="s">
        <v>70</v>
      </c>
      <c r="AQ46" s="23">
        <f>SQRT(0.25*$AD$11*$AD$11*SIN($AQ$35+9*$AQ$36)*SIN($AQ$35+9*$AQ$36)+$G$8*$G$8*COS($AQ$35+9*$AQ$36)*COS($AQ$35+9*$AQ$36))</f>
        <v>75.14191097906165</v>
      </c>
      <c r="AT46" s="7" t="s">
        <v>70</v>
      </c>
      <c r="AU46" s="23">
        <f>SQRT($AD$10*$AD$10*SIN($AU$35+9*$AU$36)*SIN($AU$35+9*$AU$36)+$G$8*$G$8*COS($AU$35+9*$AU$36)*COS($AU$35+9*$AU$36))</f>
        <v>43.14887963681351</v>
      </c>
    </row>
    <row r="47" spans="6:47" ht="15.75">
      <c r="F47" s="1" t="s">
        <v>100</v>
      </c>
      <c r="G47" s="15">
        <f>$AU$58</f>
        <v>64.77958130497328</v>
      </c>
      <c r="H47" s="16">
        <f>$AU$58</f>
        <v>64.77958130497328</v>
      </c>
      <c r="I47" s="15" t="s">
        <v>56</v>
      </c>
      <c r="AL47" s="7" t="s">
        <v>71</v>
      </c>
      <c r="AM47" s="23">
        <f>SQRT($AD$9*$AD$9*SIN($AM$35+10*$AM$36)*SIN($AM$35+10*$AM$36)+$G$8*$G$8*COS($AM$35+10*$AM$36)*COS($AM$35+10*$AM$36))</f>
        <v>61.3679276672123</v>
      </c>
      <c r="AP47" s="7" t="s">
        <v>71</v>
      </c>
      <c r="AQ47" s="23">
        <f>SQRT(0.25*$AD$11*$AD$11*SIN($AQ$35+10*$AQ$36)*SIN($AQ$35+10*$AQ$36)+$G$8*$G$8*COS($AQ$35+10*$AQ$36)*COS($AQ$35+10*$AQ$36))</f>
        <v>70.82388400933829</v>
      </c>
      <c r="AT47" s="7" t="s">
        <v>71</v>
      </c>
      <c r="AU47" s="23">
        <f>SQRT($AD$10*$AD$10*SIN($AU$35+10*$AU$36)*SIN($AU$35+10*$AU$36)+$G$8*$G$8*COS($AU$35+10*$AU$36)*COS($AU$35+10*$AU$36))</f>
        <v>41.75499987693929</v>
      </c>
    </row>
    <row r="48" spans="4:47" ht="15.75">
      <c r="D48" s="10" t="str">
        <f>IF($G$8&gt;$AD$10,"on y-axis","on x-axis")</f>
        <v>on x-axis</v>
      </c>
      <c r="F48" s="1" t="s">
        <v>6</v>
      </c>
      <c r="G48" s="15">
        <f>IF($AD$10&gt;$G$8,$AD$16,$AD$17)</f>
        <v>38.89781447014215</v>
      </c>
      <c r="H48" s="16">
        <f>IF($AD$10&gt;$G$8,$AD$16,$AD$17)</f>
        <v>38.89781447014215</v>
      </c>
      <c r="I48" s="21" t="s">
        <v>56</v>
      </c>
      <c r="AL48" s="7" t="s">
        <v>72</v>
      </c>
      <c r="AM48" s="23">
        <f>SQRT($AD$9*$AD$9*SIN($AM$35+11*$AM$36)*SIN($AM$35+11*$AM$36)+$G$8*$G$8*COS($AM$35+11*$AM$36)*COS($AM$35+11*$AM$36))</f>
        <v>57.71725381592118</v>
      </c>
      <c r="AP48" s="7" t="s">
        <v>72</v>
      </c>
      <c r="AQ48" s="23">
        <f>SQRT(0.25*$AD$11*$AD$11*SIN($AQ$35+11*$AQ$36)*SIN($AQ$35+11*$AQ$36)+$G$8*$G$8*COS($AQ$35+11*$AQ$36)*COS($AQ$35+11*$AQ$36))</f>
        <v>66.22490699692361</v>
      </c>
      <c r="AT48" s="7" t="s">
        <v>72</v>
      </c>
      <c r="AU48" s="23">
        <f>SQRT($AD$10*$AD$10*SIN($AU$35+11*$AU$36)*SIN($AU$35+11*$AU$36)+$G$8*$G$8*COS($AU$35+11*$AU$36)*COS($AU$35+11*$AU$36))</f>
        <v>40.312953445935726</v>
      </c>
    </row>
    <row r="49" spans="6:47" ht="15.75">
      <c r="F49" s="1" t="s">
        <v>124</v>
      </c>
      <c r="G49" s="15">
        <f>$AD$25</f>
        <v>10.191020000000027</v>
      </c>
      <c r="H49" s="16">
        <f>$AD$25</f>
        <v>10.191020000000027</v>
      </c>
      <c r="I49" s="15" t="s">
        <v>56</v>
      </c>
      <c r="AL49" s="7" t="s">
        <v>73</v>
      </c>
      <c r="AM49" s="23">
        <f>SQRT($AD$9*$AD$9*SIN($AM$35+12*$AM$36)*SIN($AM$35+12*$AM$36)+$G$8*$G$8*COS($AM$35+12*$AM$36)*COS($AM$35+12*$AM$36))</f>
        <v>53.91887424706448</v>
      </c>
      <c r="AP49" s="7" t="s">
        <v>73</v>
      </c>
      <c r="AQ49" s="23">
        <f>SQRT(0.25*$AD$11*$AD$11*SIN($AQ$35+12*$AQ$36)*SIN($AQ$35+12*$AQ$36)+$G$8*$G$8*COS($AQ$35+12*$AQ$36)*COS($AQ$35+12*$AQ$36))</f>
        <v>61.40825479609456</v>
      </c>
      <c r="AT49" s="7" t="s">
        <v>73</v>
      </c>
      <c r="AU49" s="23">
        <f>SQRT($AD$10*$AD$10*SIN($AU$35+12*$AU$36)*SIN($AU$35+12*$AU$36)+$G$8*$G$8*COS($AU$35+12*$AU$36)*COS($AU$35+12*$AU$36))</f>
        <v>38.85489007433149</v>
      </c>
    </row>
    <row r="50" spans="6:47" ht="15.75">
      <c r="F50" s="1" t="s">
        <v>12</v>
      </c>
      <c r="G50" s="15">
        <f>$AD$22</f>
        <v>43.701603303762454</v>
      </c>
      <c r="H50" s="16">
        <f>$AD$22</f>
        <v>43.701603303762454</v>
      </c>
      <c r="I50" s="21" t="s">
        <v>56</v>
      </c>
      <c r="AL50" s="7" t="s">
        <v>74</v>
      </c>
      <c r="AM50" s="23">
        <f>SQRT($AD$9*$AD$9*SIN($AM$35+13*$AM$36)*SIN($AM$35+13*$AM$36)+$G$8*$G$8*COS($AM$35+13*$AM$36)*COS($AM$35+13*$AM$36))</f>
        <v>50.04352670819901</v>
      </c>
      <c r="AP50" s="7" t="s">
        <v>74</v>
      </c>
      <c r="AQ50" s="23">
        <f>SQRT(0.25*$AD$11*$AD$11*SIN($AQ$35+13*$AQ$36)*SIN($AQ$35+13*$AQ$36)+$G$8*$G$8*COS($AQ$35+13*$AQ$36)*COS($AQ$35+13*$AQ$36))</f>
        <v>56.45233777904858</v>
      </c>
      <c r="AT50" s="7" t="s">
        <v>74</v>
      </c>
      <c r="AU50" s="23">
        <f>SQRT($AD$10*$AD$10*SIN($AU$35+13*$AU$36)*SIN($AU$35+13*$AU$36)+$G$8*$G$8*COS($AU$35+13*$AU$36)*COS($AU$35+13*$AU$36))</f>
        <v>37.41693638640704</v>
      </c>
    </row>
    <row r="51" spans="6:47" ht="15.75">
      <c r="F51" s="1" t="s">
        <v>60</v>
      </c>
      <c r="G51" s="15">
        <f>$AU$32</f>
        <v>47.89366033943523</v>
      </c>
      <c r="H51" s="16">
        <f>$AU$32</f>
        <v>47.89366033943523</v>
      </c>
      <c r="I51" s="21" t="s">
        <v>56</v>
      </c>
      <c r="AL51" s="7" t="s">
        <v>75</v>
      </c>
      <c r="AM51" s="23">
        <f>SQRT($AD$9*$AD$9*SIN($AM$35+14*$AM$36)*SIN($AM$35+14*$AM$36)+$G$8*$G$8*COS($AM$35+14*$AM$36)*COS($AM$35+14*$AM$36))</f>
        <v>46.179330697188774</v>
      </c>
      <c r="AP51" s="7" t="s">
        <v>75</v>
      </c>
      <c r="AQ51" s="23">
        <f>SQRT(0.25*$AD$11*$AD$11*SIN($AQ$35+14*$AQ$36)*SIN($AQ$35+14*$AQ$36)+$G$8*$G$8*COS($AQ$35+14*$AQ$36)*COS($AQ$35+14*$AQ$36))</f>
        <v>51.45676843987321</v>
      </c>
      <c r="AT51" s="7" t="s">
        <v>75</v>
      </c>
      <c r="AU51" s="23">
        <f>SQRT($AD$10*$AD$10*SIN($AU$35+14*$AU$36)*SIN($AU$35+14*$AU$36)+$G$8*$G$8*COS($AU$35+14*$AU$36)*COS($AU$35+14*$AU$36))</f>
        <v>36.038988946874994</v>
      </c>
    </row>
    <row r="52" spans="6:47" ht="15.75">
      <c r="F52" s="1" t="s">
        <v>5</v>
      </c>
      <c r="G52" s="15">
        <f>$AD$23</f>
        <v>1.1302867385155422</v>
      </c>
      <c r="H52" s="16">
        <f>12*$G$52</f>
        <v>13.563440862186507</v>
      </c>
      <c r="I52" s="21" t="s">
        <v>53</v>
      </c>
      <c r="AL52" s="7" t="s">
        <v>76</v>
      </c>
      <c r="AM52" s="23">
        <f>SQRT($AD$9*$AD$9*SIN($AM$35+15*$AM$36)*SIN($AM$35+15*$AM$36)+$G$8*$G$8*COS($AM$35+15*$AM$36)*COS($AM$35+15*$AM$36))</f>
        <v>42.437349060148215</v>
      </c>
      <c r="AP52" s="7" t="s">
        <v>76</v>
      </c>
      <c r="AQ52" s="23">
        <f>SQRT(0.25*$AD$11*$AD$11*SIN($AQ$35+15*$AQ$36)*SIN($AQ$35+15*$AQ$36)+$G$8*$G$8*COS($AQ$35+15*$AQ$36)*COS($AQ$35+15*$AQ$36))</f>
        <v>46.55153186276128</v>
      </c>
      <c r="AT52" s="7" t="s">
        <v>76</v>
      </c>
      <c r="AU52" s="23">
        <f>SQRT($AD$10*$AD$10*SIN($AU$35+15*$AU$36)*SIN($AU$35+15*$AU$36)+$G$8*$G$8*COS($AU$35+15*$AU$36)*COS($AU$35+15*$AU$36))</f>
        <v>34.76405619358633</v>
      </c>
    </row>
    <row r="53" spans="6:47" ht="15.75">
      <c r="F53" s="1" t="s">
        <v>4</v>
      </c>
      <c r="G53" s="10">
        <f>$AI$24</f>
        <v>48.499807605536425</v>
      </c>
      <c r="H53" s="2" t="s">
        <v>34</v>
      </c>
      <c r="I53" s="2"/>
      <c r="AL53" s="7" t="s">
        <v>77</v>
      </c>
      <c r="AM53" s="23">
        <f>SQRT($AD$9*$AD$9*SIN($AM$35+16*$AM$36)*SIN($AM$35+16*$AM$36)+$G$8*$G$8*COS($AM$35+16*$AM$36)*COS($AM$35+16*$AM$36))</f>
        <v>38.957845701602295</v>
      </c>
      <c r="AP53" s="7" t="s">
        <v>77</v>
      </c>
      <c r="AQ53" s="23">
        <f>SQRT(0.25*$AD$11*$AD$11*SIN($AQ$35+16*$AQ$36)*SIN($AQ$35+16*$AQ$36)+$G$8*$G$8*COS($AQ$35+16*$AQ$36)*COS($AQ$35+16*$AQ$36))</f>
        <v>41.90993317509787</v>
      </c>
      <c r="AT53" s="7" t="s">
        <v>77</v>
      </c>
      <c r="AU53" s="23">
        <f>SQRT($AD$10*$AD$10*SIN($AU$35+16*$AU$36)*SIN($AU$35+16*$AU$36)+$G$8*$G$8*COS($AU$35+16*$AU$36)*COS($AU$35+16*$AU$36))</f>
        <v>33.636921530514414</v>
      </c>
    </row>
    <row r="54" spans="6:47" ht="15.75">
      <c r="F54" s="1" t="s">
        <v>54</v>
      </c>
      <c r="G54" s="10">
        <f>$AI$18</f>
        <v>31.717474233302486</v>
      </c>
      <c r="H54" s="2" t="str">
        <f>IF($G$54&gt;90,"exceeds 90 degrees!","degrees")</f>
        <v>degrees</v>
      </c>
      <c r="I54" s="2"/>
      <c r="AL54" s="7" t="s">
        <v>78</v>
      </c>
      <c r="AM54" s="23">
        <f>SQRT($AD$9*$AD$9*SIN($AM$35+17*$AM$36)*SIN($AM$35+17*$AM$36)+$G$8*$G$8*COS($AM$35+17*$AM$36)*COS($AM$35+17*$AM$36))</f>
        <v>35.91461697751671</v>
      </c>
      <c r="AP54" s="7" t="s">
        <v>78</v>
      </c>
      <c r="AQ54" s="23">
        <f>SQRT(0.25*$AD$11*$AD$11*SIN($AQ$35+17*$AQ$36)*SIN($AQ$35+17*$AQ$36)+$G$8*$G$8*COS($AQ$35+17*$AQ$36)*COS($AQ$35+17*$AQ$36))</f>
        <v>37.763759842026744</v>
      </c>
      <c r="AT54" s="7" t="s">
        <v>78</v>
      </c>
      <c r="AU54" s="23">
        <f>SQRT($AD$10*$AD$10*SIN($AU$35+17*$AU$36)*SIN($AU$35+17*$AU$36)+$G$8*$G$8*COS($AU$35+17*$AU$36)*COS($AU$35+17*$AU$36))</f>
        <v>32.70192306520647</v>
      </c>
    </row>
    <row r="55" spans="6:47" ht="15.75">
      <c r="F55" s="9" t="s">
        <v>10</v>
      </c>
      <c r="G55" s="10"/>
      <c r="H55" s="2"/>
      <c r="I55" s="2"/>
      <c r="AL55" s="7" t="s">
        <v>79</v>
      </c>
      <c r="AM55" s="23">
        <f>SQRT($AD$9*$AD$9*SIN($AM$35+18*$AM$36)*SIN($AM$35+18*$AM$36)+$G$8*$G$8*COS($AM$35+18*$AM$36)*COS($AM$35+18*$AM$36))</f>
        <v>33.510849443849125</v>
      </c>
      <c r="AP55" s="7" t="s">
        <v>79</v>
      </c>
      <c r="AQ55" s="23">
        <f>SQRT(0.25*$AD$11*$AD$11*SIN($AQ$35+18*$AQ$36)*SIN($AQ$35+18*$AQ$36)+$G$8*$G$8*COS($AQ$35+18*$AQ$36)*COS($AQ$35+18*$AQ$36))</f>
        <v>34.41157341766548</v>
      </c>
      <c r="AT55" s="7" t="s">
        <v>79</v>
      </c>
      <c r="AU55" s="23">
        <f>SQRT($AD$10*$AD$10*SIN($AU$35+18*$AU$36)*SIN($AU$35+18*$AU$36)+$G$8*$G$8*COS($AU$35+18*$AU$36)*COS($AU$35+18*$AU$36))</f>
        <v>31.999793015239735</v>
      </c>
    </row>
    <row r="56" spans="6:47" ht="15.75">
      <c r="F56" s="1" t="s">
        <v>3</v>
      </c>
      <c r="G56" s="10">
        <f>$AI$35</f>
        <v>43.00594013589119</v>
      </c>
      <c r="H56" s="2" t="s">
        <v>34</v>
      </c>
      <c r="I56" s="2"/>
      <c r="AL56" s="7" t="s">
        <v>80</v>
      </c>
      <c r="AM56" s="23">
        <f>SQRT($AD$9*$AD$9*SIN($AM$35+19*$AM$36)*SIN($AM$35+19*$AM$36)+$G$8*$G$8*COS($AM$35+19*$AM$36)*COS($AM$35+19*$AM$36))</f>
        <v>31.955827334260935</v>
      </c>
      <c r="AP56" s="7" t="s">
        <v>80</v>
      </c>
      <c r="AQ56" s="23">
        <f>SQRT(0.25*$AD$11*$AD$11*SIN($AQ$35+19*$AQ$36)*SIN($AQ$35+19*$AQ$36)+$G$8*$G$8*COS($AQ$35+19*$AQ$36)*COS($AQ$35+19*$AQ$36))</f>
        <v>32.19572137525694</v>
      </c>
      <c r="AT56" s="7" t="s">
        <v>80</v>
      </c>
      <c r="AU56" s="23">
        <f>SQRT($AD$10*$AD$10*SIN($AU$35+19*$AU$36)*SIN($AU$35+19*$AU$36)+$G$8*$G$8*COS($AU$35+19*$AU$36)*COS($AU$35+19*$AU$36))</f>
        <v>31.563809114840677</v>
      </c>
    </row>
    <row r="57" spans="6:47" ht="15.75">
      <c r="F57" s="1" t="s">
        <v>2</v>
      </c>
      <c r="G57" s="10">
        <f>$AI$36</f>
        <v>46.99405986410882</v>
      </c>
      <c r="H57" s="2" t="s">
        <v>34</v>
      </c>
      <c r="I57" s="2"/>
      <c r="AL57" s="7" t="s">
        <v>81</v>
      </c>
      <c r="AM57" s="23">
        <f>SQRT($AD$9*$AD$9*SIN($AM$35+20*$AM$36)*SIN($AM$35+20*$AM$36)+$G$8*$G$8*COS($AM$35+20*$AM$36)*COS($AM$35+20*$AM$36))</f>
        <v>31.41592</v>
      </c>
      <c r="AP57" s="7" t="s">
        <v>81</v>
      </c>
      <c r="AQ57" s="23">
        <f>SQRT(0.25*$AD$11*$AD$11*SIN($AQ$35+20*$AQ$36)*SIN($AQ$35+20*$AQ$36)+$G$8*$G$8*COS($AQ$35+20*$AQ$36)*COS($AQ$35+20*$AQ$36))</f>
        <v>31.41592</v>
      </c>
      <c r="AT57" s="7" t="s">
        <v>81</v>
      </c>
      <c r="AU57" s="23">
        <f>SQRT($AD$10*$AD$10*SIN($AU$35+20*$AU$36)*SIN($AU$35+20*$AU$36)+$G$8*$G$8*COS($AU$35+20*$AU$36)*COS($AU$35+20*$AU$36))</f>
        <v>31.41592</v>
      </c>
    </row>
    <row r="58" spans="6:47" ht="15.75">
      <c r="F58" s="1" t="s">
        <v>1</v>
      </c>
      <c r="G58" s="10">
        <f>$AI$37</f>
        <v>39.57575587068552</v>
      </c>
      <c r="H58" s="2" t="s">
        <v>34</v>
      </c>
      <c r="I58" s="2"/>
      <c r="AL58" s="7" t="s">
        <v>83</v>
      </c>
      <c r="AM58" s="23">
        <f>($AM$36/3)*($AM$37+4*$AM$38+2*$AM$39+4*$AM$40+2*$AM$41+4*$AM$42+2*$AM$43+4*$AM$44+2*$AM$45+4*$AM$46+2*$AM$47+4*$AM$48+2*$AM$49+4*$AM$50+2*$AM$51+4*$AM$52+2*$AM$53+4*$AM$54+2*$AM$55+4*$AM$56+$AM$57)</f>
        <v>92.54969934071289</v>
      </c>
      <c r="AP58" s="7" t="s">
        <v>83</v>
      </c>
      <c r="AQ58" s="23">
        <f>($AQ$36/3)*($AQ$37+4*$AQ$38+2*$AQ$39+4*$AQ$40+2*$AQ$41+4*$AQ$42+2*$AQ$43+4*$AQ$44+2*$AQ$45+4*$AQ$46+2*$AQ$47+4*$AQ$48+2*$AQ$49+4*$AQ$50+2*$AQ$51+4*$AQ$52+2*$AQ$53+4*$AQ$54+2*$AQ$55+4*$AQ$56+$AQ$57)</f>
        <v>105.77166430799176</v>
      </c>
      <c r="AT58" s="7" t="s">
        <v>83</v>
      </c>
      <c r="AU58" s="23">
        <f>($AU$36/3)*($AU$37+4*$AU$38+2*$AU$39+4*$AU$40+2*$AU$41+4*$AU$42+2*$AU$43+4*$AU$44+2*$AU$45+4*$AU$46+2*$AU$47+4*$AU$48+2*$AU$49+4*$AU$50+2*$AU$51+4*$AU$52+2*$AU$53+4*$AU$54+2*$AU$55+4*$AU$56+$AU$57)</f>
        <v>64.77958130497328</v>
      </c>
    </row>
    <row r="59" spans="6:9" ht="15.75">
      <c r="F59" s="9" t="s">
        <v>9</v>
      </c>
      <c r="G59" s="10"/>
      <c r="H59" s="2"/>
      <c r="I59" s="2"/>
    </row>
    <row r="60" spans="6:9" ht="15.75">
      <c r="F60" s="1" t="s">
        <v>3</v>
      </c>
      <c r="G60" s="10">
        <f>$AI$38</f>
        <v>39.529337934131384</v>
      </c>
      <c r="H60" s="2" t="s">
        <v>34</v>
      </c>
      <c r="I60" s="2"/>
    </row>
    <row r="61" spans="6:9" ht="15.75">
      <c r="F61" s="1" t="s">
        <v>2</v>
      </c>
      <c r="G61" s="10">
        <f>$AI$39</f>
        <v>50.47066206586862</v>
      </c>
      <c r="H61" s="2" t="s">
        <v>34</v>
      </c>
      <c r="I61" s="2"/>
    </row>
    <row r="62" spans="6:8" ht="15.75">
      <c r="F62" s="1" t="s">
        <v>1</v>
      </c>
      <c r="G62" s="10">
        <f>$AI$40</f>
        <v>34.309320107629034</v>
      </c>
      <c r="H62" s="2" t="s">
        <v>34</v>
      </c>
    </row>
    <row r="63" ht="15.75">
      <c r="F63" s="9" t="s">
        <v>126</v>
      </c>
    </row>
    <row r="64" spans="6:8" ht="15.75">
      <c r="F64" s="1" t="s">
        <v>110</v>
      </c>
      <c r="G64" s="10">
        <f>$AI$41</f>
        <v>55.66450718057461</v>
      </c>
      <c r="H64" s="2" t="s">
        <v>34</v>
      </c>
    </row>
    <row r="65" spans="6:8" ht="15.75">
      <c r="F65" s="1" t="s">
        <v>122</v>
      </c>
      <c r="G65" s="10">
        <f>$AI$42</f>
        <v>34.33549281942538</v>
      </c>
      <c r="H65" s="2" t="s">
        <v>34</v>
      </c>
    </row>
    <row r="66" spans="6:7" ht="15.75">
      <c r="F66" s="3"/>
      <c r="G66" s="5"/>
    </row>
    <row r="67" spans="6:7" ht="15.75">
      <c r="F67" s="3"/>
      <c r="G67" s="5"/>
    </row>
    <row r="68" spans="6:7" ht="15.75">
      <c r="F68" s="3"/>
      <c r="G68" s="5"/>
    </row>
    <row r="69" spans="6:7" ht="15.75">
      <c r="F69" s="3"/>
      <c r="G69" s="5"/>
    </row>
    <row r="70" spans="6:7" ht="15.75">
      <c r="F70" s="3"/>
      <c r="G70" s="5"/>
    </row>
    <row r="71" spans="6:7" ht="15.75">
      <c r="F71" s="3"/>
      <c r="G71" s="5"/>
    </row>
    <row r="72" spans="6:7" ht="15.75">
      <c r="F72" s="3"/>
      <c r="G72" s="5"/>
    </row>
    <row r="73" spans="6:7" ht="15.75">
      <c r="F73" s="3"/>
      <c r="G73" s="5"/>
    </row>
    <row r="74" spans="6:7" ht="15.75">
      <c r="F74" s="3"/>
      <c r="G74" s="5"/>
    </row>
    <row r="75" spans="6:7" ht="15.75">
      <c r="F75" s="3"/>
      <c r="G75" s="5"/>
    </row>
    <row r="76" spans="6:7" ht="15.75">
      <c r="F76" s="3"/>
      <c r="G76" s="5"/>
    </row>
    <row r="77" spans="6:7" ht="15.75">
      <c r="F77" s="3"/>
      <c r="G77" s="5"/>
    </row>
    <row r="78" spans="6:7" ht="15.75">
      <c r="F78" s="3"/>
      <c r="G78" s="5"/>
    </row>
    <row r="79" spans="6:7" ht="15.75">
      <c r="F79" s="3"/>
      <c r="G79" s="5"/>
    </row>
    <row r="80" spans="6:7" ht="15.75">
      <c r="F80" s="3"/>
      <c r="G80" s="5"/>
    </row>
    <row r="81" spans="6:7" ht="15.75">
      <c r="F81" s="3"/>
      <c r="G81" s="5"/>
    </row>
    <row r="82" spans="6:7" ht="15.75">
      <c r="F82" s="3"/>
      <c r="G82" s="5"/>
    </row>
    <row r="83" spans="6:7" ht="15.75">
      <c r="F83" s="3"/>
      <c r="G83" s="5"/>
    </row>
    <row r="84" spans="6:7" ht="15.75">
      <c r="F84" s="3"/>
      <c r="G84" s="5"/>
    </row>
    <row r="85" spans="6:7" ht="15.75">
      <c r="F85" s="3"/>
      <c r="G85" s="5"/>
    </row>
    <row r="86" spans="6:7" ht="15.75">
      <c r="F86" s="3"/>
      <c r="G86" s="5"/>
    </row>
    <row r="87" spans="6:7" ht="15.75">
      <c r="F87" s="3"/>
      <c r="G87" s="5"/>
    </row>
    <row r="88" spans="6:7" ht="15.75">
      <c r="F88" s="3"/>
      <c r="G88" s="5"/>
    </row>
    <row r="89" spans="6:7" ht="15.75">
      <c r="F89" s="3"/>
      <c r="G89" s="5"/>
    </row>
    <row r="90" spans="6:7" ht="15.75">
      <c r="F90" s="3"/>
      <c r="G90" s="5"/>
    </row>
    <row r="91" spans="6:7" ht="15.75">
      <c r="F91" s="3"/>
      <c r="G91" s="5"/>
    </row>
    <row r="92" spans="6:7" ht="15.75">
      <c r="F92" s="3"/>
      <c r="G92" s="5"/>
    </row>
    <row r="93" spans="6:7" ht="15.75">
      <c r="F93" s="3"/>
      <c r="G93" s="5"/>
    </row>
    <row r="94" spans="6:7" ht="15.75">
      <c r="F94" s="3"/>
      <c r="G94" s="5"/>
    </row>
    <row r="95" spans="6:7" ht="15.75">
      <c r="F95" s="3"/>
      <c r="G95" s="5"/>
    </row>
    <row r="96" spans="6:7" ht="15.75">
      <c r="F96" s="3"/>
      <c r="G96" s="5"/>
    </row>
    <row r="97" spans="6:7" ht="15.75">
      <c r="F97" s="3"/>
      <c r="G97" s="5"/>
    </row>
    <row r="98" spans="6:7" ht="15.75">
      <c r="F98" s="3"/>
      <c r="G98" s="5"/>
    </row>
    <row r="99" spans="6:7" ht="15.75">
      <c r="F99" s="3"/>
      <c r="G99" s="5"/>
    </row>
    <row r="100" spans="6:7" ht="15.75">
      <c r="F100" s="3"/>
      <c r="G100" s="5"/>
    </row>
    <row r="101" spans="6:7" ht="15.75">
      <c r="F101" s="3"/>
      <c r="G101" s="5"/>
    </row>
    <row r="102" spans="6:7" ht="15.75">
      <c r="F102" s="3"/>
      <c r="G102" s="5"/>
    </row>
    <row r="103" spans="6:7" ht="15.75">
      <c r="F103" s="3"/>
      <c r="G103" s="5"/>
    </row>
    <row r="104" spans="6:7" ht="15.75">
      <c r="F104" s="3"/>
      <c r="G104" s="5"/>
    </row>
    <row r="105" spans="6:7" ht="15.75">
      <c r="F105" s="3"/>
      <c r="G105" s="5"/>
    </row>
    <row r="106" spans="6:7" ht="15.75">
      <c r="F106" s="3"/>
      <c r="G106" s="5"/>
    </row>
    <row r="107" spans="6:7" ht="15.75">
      <c r="F107" s="3"/>
      <c r="G107" s="5"/>
    </row>
    <row r="108" spans="6:7" ht="15.75">
      <c r="F108" s="3"/>
      <c r="G108" s="5"/>
    </row>
    <row r="109" spans="6:7" ht="15.75">
      <c r="F109" s="3"/>
      <c r="G109" s="5"/>
    </row>
    <row r="110" spans="6:7" ht="15.75">
      <c r="F110" s="3"/>
      <c r="G110" s="5"/>
    </row>
    <row r="111" spans="6:7" ht="15.75">
      <c r="F111" s="3"/>
      <c r="G111" s="5"/>
    </row>
    <row r="112" spans="6:7" ht="15.75">
      <c r="F112" s="3"/>
      <c r="G112" s="5"/>
    </row>
    <row r="113" spans="6:7" ht="15.75">
      <c r="F113" s="3"/>
      <c r="G113" s="5"/>
    </row>
    <row r="114" spans="6:7" ht="15.75">
      <c r="F114" s="3"/>
      <c r="G114" s="5"/>
    </row>
    <row r="115" spans="6:7" ht="15.75">
      <c r="F115" s="3"/>
      <c r="G115" s="5"/>
    </row>
    <row r="116" spans="6:7" ht="15.75">
      <c r="F116" s="3"/>
      <c r="G116" s="5"/>
    </row>
    <row r="117" spans="6:7" ht="15.75">
      <c r="F117" s="3"/>
      <c r="G117" s="5"/>
    </row>
    <row r="118" spans="6:7" ht="15.75">
      <c r="F118" s="3"/>
      <c r="G118" s="5"/>
    </row>
    <row r="119" spans="6:7" ht="15.75">
      <c r="F119" s="3"/>
      <c r="G119" s="5"/>
    </row>
    <row r="120" spans="6:7" ht="15.75">
      <c r="F120" s="3"/>
      <c r="G120" s="5"/>
    </row>
    <row r="121" spans="6:7" ht="15.75">
      <c r="F121" s="3"/>
      <c r="G121" s="5"/>
    </row>
    <row r="122" spans="6:7" ht="15.75">
      <c r="F122" s="3"/>
      <c r="G122" s="5"/>
    </row>
    <row r="123" spans="6:7" ht="15.75">
      <c r="F123" s="3"/>
      <c r="G123" s="5"/>
    </row>
    <row r="124" ht="15.75">
      <c r="F124" s="3"/>
    </row>
    <row r="125" ht="15.75">
      <c r="F125" s="3"/>
    </row>
    <row r="126" ht="15.75">
      <c r="F126" s="3"/>
    </row>
    <row r="127" ht="15.75">
      <c r="F127" s="3"/>
    </row>
    <row r="128" ht="15.75">
      <c r="F128" s="3"/>
    </row>
    <row r="129" ht="15.75">
      <c r="F129" s="3"/>
    </row>
    <row r="130" ht="15.75">
      <c r="F130" s="3"/>
    </row>
    <row r="131" ht="15.75">
      <c r="F131" s="3"/>
    </row>
    <row r="132" ht="15.75">
      <c r="F132" s="3"/>
    </row>
    <row r="133" ht="15.75">
      <c r="F133" s="3"/>
    </row>
    <row r="134" ht="15.75">
      <c r="F134" s="3"/>
    </row>
    <row r="135" ht="15.75">
      <c r="F135" s="3"/>
    </row>
    <row r="136" ht="15.75">
      <c r="F136" s="3"/>
    </row>
    <row r="137" ht="15.75">
      <c r="F137" s="3"/>
    </row>
    <row r="138" ht="15.75">
      <c r="F138" s="3"/>
    </row>
    <row r="139" ht="15.75">
      <c r="F139" s="3"/>
    </row>
    <row r="140" ht="15.75">
      <c r="F140" s="3"/>
    </row>
    <row r="141" ht="15.75">
      <c r="F141" s="3"/>
    </row>
    <row r="142" ht="15.75">
      <c r="F142" s="3"/>
    </row>
    <row r="143" ht="15.75">
      <c r="F143" s="3"/>
    </row>
    <row r="144" ht="15.75">
      <c r="F144" s="3"/>
    </row>
    <row r="145" ht="15.75">
      <c r="F145" s="3"/>
    </row>
    <row r="146" ht="12.75">
      <c r="F146" s="4"/>
    </row>
    <row r="147" ht="12.75">
      <c r="F147" s="4"/>
    </row>
    <row r="148" ht="12.75">
      <c r="F148" s="4"/>
    </row>
    <row r="149" ht="12.75">
      <c r="F149" s="4"/>
    </row>
    <row r="150" ht="12.75">
      <c r="F150" s="4"/>
    </row>
    <row r="151" ht="12.75">
      <c r="F151" s="4"/>
    </row>
    <row r="152" ht="12.75">
      <c r="F152" s="4"/>
    </row>
    <row r="153" ht="12.75">
      <c r="F153" s="4"/>
    </row>
    <row r="154" ht="12.75">
      <c r="F154" s="4"/>
    </row>
    <row r="155" ht="12.75">
      <c r="F155" s="4"/>
    </row>
    <row r="156" ht="12.75">
      <c r="F156" s="4"/>
    </row>
    <row r="157" ht="12.75">
      <c r="F157" s="4"/>
    </row>
    <row r="158" ht="12.75">
      <c r="F158" s="4"/>
    </row>
    <row r="159" ht="12.75">
      <c r="F159" s="4"/>
    </row>
    <row r="160" ht="12.75">
      <c r="F160" s="4"/>
    </row>
    <row r="161" ht="12.75">
      <c r="F161" s="4"/>
    </row>
    <row r="162" ht="12.75">
      <c r="F162" s="4"/>
    </row>
    <row r="163" ht="12.75">
      <c r="F163" s="4"/>
    </row>
    <row r="164" ht="12.75">
      <c r="F164" s="4"/>
    </row>
    <row r="165" ht="12.75">
      <c r="F165" s="4"/>
    </row>
    <row r="166" ht="12.75">
      <c r="F166" s="4"/>
    </row>
    <row r="167" ht="12.75">
      <c r="F167" s="4"/>
    </row>
    <row r="168" ht="12.75">
      <c r="F168" s="4"/>
    </row>
    <row r="169" ht="12.75">
      <c r="F169" s="4"/>
    </row>
    <row r="170" ht="12.75">
      <c r="F170" s="4"/>
    </row>
    <row r="171" ht="12.75">
      <c r="F171" s="4"/>
    </row>
    <row r="172" ht="12.75">
      <c r="F172" s="4"/>
    </row>
    <row r="173" ht="12.75">
      <c r="F173" s="4"/>
    </row>
    <row r="174" ht="12.75">
      <c r="F174" s="4"/>
    </row>
    <row r="175" ht="12.75">
      <c r="F175" s="4"/>
    </row>
    <row r="176" ht="12.75">
      <c r="F176" s="4"/>
    </row>
    <row r="177" ht="12.75">
      <c r="F177" s="4"/>
    </row>
    <row r="178" ht="12.75">
      <c r="F178" s="4"/>
    </row>
    <row r="179" ht="12.75">
      <c r="F179" s="4"/>
    </row>
    <row r="180" ht="12.75">
      <c r="F180" s="4"/>
    </row>
    <row r="181" ht="12.75">
      <c r="F181" s="4"/>
    </row>
    <row r="182" ht="12.75">
      <c r="F182" s="4"/>
    </row>
    <row r="183" ht="12.75">
      <c r="F183" s="4"/>
    </row>
    <row r="184" ht="12.75">
      <c r="F184" s="4"/>
    </row>
    <row r="185" ht="12.75">
      <c r="F185" s="4"/>
    </row>
    <row r="186" ht="12.75">
      <c r="F186" s="4"/>
    </row>
    <row r="187" ht="12.75">
      <c r="F187" s="4"/>
    </row>
    <row r="188" ht="12.75">
      <c r="F188" s="4"/>
    </row>
    <row r="189" ht="12.75">
      <c r="F189" s="4"/>
    </row>
    <row r="190" ht="12.75">
      <c r="F190" s="4"/>
    </row>
    <row r="191" ht="12.75">
      <c r="F191" s="4"/>
    </row>
    <row r="192" ht="12.75">
      <c r="F192" s="4"/>
    </row>
    <row r="193" ht="12.75">
      <c r="F193" s="4"/>
    </row>
    <row r="194" ht="12.75">
      <c r="F194" s="4"/>
    </row>
    <row r="195" ht="12.75">
      <c r="F195" s="4"/>
    </row>
    <row r="196" ht="12.75">
      <c r="F196" s="4"/>
    </row>
    <row r="197" ht="12.75">
      <c r="F197" s="4"/>
    </row>
    <row r="198" ht="12.75">
      <c r="F198" s="4"/>
    </row>
    <row r="199" ht="12.75">
      <c r="F199" s="4"/>
    </row>
    <row r="200" ht="12.75">
      <c r="F200" s="4"/>
    </row>
    <row r="201" ht="12.75">
      <c r="F201" s="4"/>
    </row>
    <row r="202" ht="12.75">
      <c r="F202" s="4"/>
    </row>
    <row r="203" ht="12.75">
      <c r="F203" s="4"/>
    </row>
    <row r="204" ht="12.75">
      <c r="F204" s="4"/>
    </row>
    <row r="205" ht="12.75">
      <c r="F205" s="4"/>
    </row>
    <row r="206" ht="12.75">
      <c r="F206" s="4"/>
    </row>
    <row r="207" ht="12.75">
      <c r="F207" s="4"/>
    </row>
    <row r="208" ht="12.75">
      <c r="F208" s="4"/>
    </row>
    <row r="209" ht="12.75">
      <c r="F209" s="4"/>
    </row>
    <row r="210" ht="12.75">
      <c r="F210" s="4"/>
    </row>
    <row r="211" ht="12.75">
      <c r="F211" s="4"/>
    </row>
    <row r="212" ht="12.75">
      <c r="F212" s="4"/>
    </row>
    <row r="213" ht="12.75">
      <c r="F213" s="4"/>
    </row>
    <row r="214" ht="12.75">
      <c r="F214" s="4"/>
    </row>
    <row r="215" ht="12.75">
      <c r="F215" s="4"/>
    </row>
    <row r="216" ht="12.75">
      <c r="F216" s="4"/>
    </row>
    <row r="217" ht="12.75">
      <c r="F217" s="4"/>
    </row>
    <row r="218" ht="12.75">
      <c r="F218" s="4"/>
    </row>
    <row r="219" ht="12.75">
      <c r="F219" s="4"/>
    </row>
    <row r="220" ht="12.75">
      <c r="F220" s="4"/>
    </row>
    <row r="221" ht="12.75">
      <c r="F221" s="4"/>
    </row>
    <row r="222" ht="12.75">
      <c r="F222" s="4"/>
    </row>
    <row r="223" ht="12.75">
      <c r="F223" s="4"/>
    </row>
    <row r="224" ht="12.75">
      <c r="F224" s="4"/>
    </row>
    <row r="225" ht="12.75">
      <c r="F225" s="4"/>
    </row>
    <row r="226" ht="12.75">
      <c r="F226" s="4"/>
    </row>
    <row r="227" ht="12.75">
      <c r="F227" s="4"/>
    </row>
    <row r="228" ht="12.75">
      <c r="F228" s="4"/>
    </row>
    <row r="229" ht="12.75">
      <c r="F229" s="4"/>
    </row>
    <row r="230" ht="12.75">
      <c r="F230" s="4"/>
    </row>
    <row r="231" ht="12.75">
      <c r="F231" s="4"/>
    </row>
    <row r="232" ht="12.75">
      <c r="F232" s="4"/>
    </row>
    <row r="233" ht="12.75">
      <c r="F233" s="4"/>
    </row>
    <row r="234" ht="12.75">
      <c r="F234" s="4"/>
    </row>
    <row r="235" ht="12.75">
      <c r="F235" s="4"/>
    </row>
    <row r="236" ht="12.75">
      <c r="F236" s="4"/>
    </row>
    <row r="237" ht="12.75">
      <c r="F237" s="4"/>
    </row>
    <row r="238" ht="12.75">
      <c r="F238" s="4"/>
    </row>
    <row r="239" ht="12.75">
      <c r="F239" s="4"/>
    </row>
    <row r="240" ht="12.75">
      <c r="F240" s="4"/>
    </row>
    <row r="241" ht="12.75">
      <c r="F241" s="4"/>
    </row>
    <row r="242" ht="12.75">
      <c r="F242" s="4"/>
    </row>
    <row r="243" ht="12.75">
      <c r="F243" s="4"/>
    </row>
    <row r="244" ht="12.75">
      <c r="F244" s="4"/>
    </row>
    <row r="245" ht="12.75">
      <c r="F245" s="4"/>
    </row>
    <row r="246" ht="12.75">
      <c r="F246" s="4"/>
    </row>
    <row r="247" ht="12.75">
      <c r="F247" s="4"/>
    </row>
    <row r="248" ht="12.75">
      <c r="F248" s="4"/>
    </row>
    <row r="249" ht="12.75">
      <c r="F249" s="4"/>
    </row>
    <row r="250" ht="12.75">
      <c r="F250" s="4"/>
    </row>
    <row r="251" ht="12.75">
      <c r="F251" s="4"/>
    </row>
    <row r="252" ht="12.75">
      <c r="F252" s="4"/>
    </row>
    <row r="253" ht="12.75">
      <c r="F253" s="4"/>
    </row>
    <row r="254" ht="12.75">
      <c r="F254" s="4"/>
    </row>
    <row r="255" ht="12.75">
      <c r="F255" s="4"/>
    </row>
    <row r="256" ht="12.75">
      <c r="F256" s="4"/>
    </row>
    <row r="257" ht="12.75">
      <c r="F257" s="4"/>
    </row>
    <row r="258" ht="12.75">
      <c r="F258" s="4"/>
    </row>
    <row r="259" ht="12.75">
      <c r="F259" s="4"/>
    </row>
    <row r="260" ht="12.75">
      <c r="F260" s="4"/>
    </row>
    <row r="261" ht="12.75">
      <c r="F261" s="4"/>
    </row>
    <row r="262" ht="12.75">
      <c r="F262" s="4"/>
    </row>
    <row r="263" ht="12.75">
      <c r="F263" s="4"/>
    </row>
    <row r="264" ht="12.75">
      <c r="F264" s="4"/>
    </row>
    <row r="265" ht="12.75">
      <c r="F265" s="4"/>
    </row>
    <row r="266" ht="12.75">
      <c r="F266" s="4"/>
    </row>
    <row r="267" ht="12.75">
      <c r="F267" s="4"/>
    </row>
    <row r="268" ht="12.75">
      <c r="F268" s="4"/>
    </row>
    <row r="269" ht="12.75">
      <c r="F269" s="4"/>
    </row>
    <row r="270" ht="12.75">
      <c r="F270" s="4"/>
    </row>
    <row r="271" ht="12.75">
      <c r="F271" s="4"/>
    </row>
    <row r="272" ht="12.75">
      <c r="F272" s="4"/>
    </row>
    <row r="273" ht="12.75">
      <c r="F273" s="4"/>
    </row>
    <row r="274" ht="12.75">
      <c r="F274" s="4"/>
    </row>
    <row r="275" ht="12.75">
      <c r="F275" s="4"/>
    </row>
    <row r="276" ht="12.75">
      <c r="F276" s="4"/>
    </row>
    <row r="277" ht="12.75">
      <c r="F277" s="4"/>
    </row>
    <row r="278" ht="12.75">
      <c r="F278" s="4"/>
    </row>
    <row r="279" ht="12.75">
      <c r="F279" s="4"/>
    </row>
    <row r="280" ht="12.75">
      <c r="F280" s="4"/>
    </row>
    <row r="281" ht="12.75">
      <c r="F281" s="4"/>
    </row>
  </sheetData>
  <sheetProtection password="D609" sheet="1" objects="1" scenarios="1"/>
  <conditionalFormatting sqref="D48 D18 D40">
    <cfRule type="cellIs" priority="1" dxfId="0" operator="equal" stopIfTrue="1">
      <formula>"on y-axis"</formula>
    </cfRule>
  </conditionalFormatting>
  <conditionalFormatting sqref="G16 G37 G46">
    <cfRule type="cellIs" priority="2" dxfId="0" operator="equal" stopIfTrue="1">
      <formula>" Major Axis on y-axis"</formula>
    </cfRule>
  </conditionalFormatting>
  <conditionalFormatting sqref="H11">
    <cfRule type="cellIs" priority="3" dxfId="1" operator="equal" stopIfTrue="1">
      <formula>" exceeds Semi-Axis!"</formula>
    </cfRule>
  </conditionalFormatting>
  <conditionalFormatting sqref="G24 G54">
    <cfRule type="cellIs" priority="4" dxfId="2" operator="greaterThan" stopIfTrue="1">
      <formula>90</formula>
    </cfRule>
  </conditionalFormatting>
  <conditionalFormatting sqref="H54 H24">
    <cfRule type="cellIs" priority="5" dxfId="2" operator="equal" stopIfTrue="1">
      <formula>"exceeds 90 degrees!"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Cross Vault Purlin Angle Calculator</dc:title>
  <dc:subject>Applied Construction Mathematics</dc:subject>
  <dc:creator>Joe Bartok</dc:creator>
  <cp:keywords/>
  <dc:description>Cross Vault Ellipse Dimensions and Purlin Compound Angle Miter/Bevel Calculator</dc:description>
  <cp:lastModifiedBy>Joe Bartok</cp:lastModifiedBy>
  <dcterms:created xsi:type="dcterms:W3CDTF">2006-01-04T22:52:13Z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